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асильева\ПРОГНОЗЫ\Прогноз СЭР\РАСП № ___-р от __.11.2024г. прогноз на 2025г. и до 2027гг. БЮДЖЕТ\"/>
    </mc:Choice>
  </mc:AlternateContent>
  <bookViews>
    <workbookView xWindow="480" yWindow="750" windowWidth="15600" windowHeight="11760"/>
  </bookViews>
  <sheets>
    <sheet name="форма 2п для МО и ГО" sheetId="2" r:id="rId1"/>
  </sheets>
  <definedNames>
    <definedName name="_xlnm.Print_Titles" localSheetId="0">'форма 2п для МО и ГО'!$9:$12</definedName>
    <definedName name="_xlnm.Print_Area" localSheetId="0">'форма 2п для МО и ГО'!$A$1:$O$140</definedName>
  </definedNames>
  <calcPr calcId="162913" refMode="R1C1"/>
</workbook>
</file>

<file path=xl/calcChain.xml><?xml version="1.0" encoding="utf-8"?>
<calcChain xmlns="http://schemas.openxmlformats.org/spreadsheetml/2006/main">
  <c r="O120" i="2" l="1"/>
  <c r="O117" i="2"/>
  <c r="N130" i="2"/>
  <c r="N125" i="2"/>
  <c r="N123" i="2"/>
  <c r="L120" i="2"/>
  <c r="L117" i="2"/>
  <c r="K124" i="2"/>
  <c r="I120" i="2"/>
  <c r="I117" i="2"/>
  <c r="O106" i="2"/>
  <c r="O104" i="2"/>
  <c r="O103" i="2"/>
  <c r="O100" i="2"/>
  <c r="O99" i="2"/>
  <c r="O81" i="2"/>
  <c r="O80" i="2"/>
  <c r="O113" i="2" s="1"/>
  <c r="L106" i="2"/>
  <c r="L103" i="2"/>
  <c r="L99" i="2" s="1"/>
  <c r="L100" i="2"/>
  <c r="L81" i="2"/>
  <c r="L80" i="2" s="1"/>
  <c r="I106" i="2"/>
  <c r="I103" i="2"/>
  <c r="I100" i="2"/>
  <c r="I99" i="2"/>
  <c r="I81" i="2"/>
  <c r="I80" i="2"/>
  <c r="I113" i="2" s="1"/>
  <c r="N120" i="2"/>
  <c r="N117" i="2" s="1"/>
  <c r="M120" i="2"/>
  <c r="M117" i="2" s="1"/>
  <c r="K130" i="2"/>
  <c r="K123" i="2"/>
  <c r="K120" i="2"/>
  <c r="K117" i="2" s="1"/>
  <c r="J120" i="2"/>
  <c r="J117" i="2" s="1"/>
  <c r="K116" i="2"/>
  <c r="M116" i="2" s="1"/>
  <c r="J116" i="2"/>
  <c r="N116" i="2" s="1"/>
  <c r="H130" i="2"/>
  <c r="G130" i="2"/>
  <c r="H125" i="2"/>
  <c r="G125" i="2"/>
  <c r="H124" i="2"/>
  <c r="G124" i="2"/>
  <c r="H123" i="2"/>
  <c r="G123" i="2"/>
  <c r="H120" i="2"/>
  <c r="G120" i="2"/>
  <c r="F120" i="2"/>
  <c r="H117" i="2"/>
  <c r="G117" i="2"/>
  <c r="F117" i="2"/>
  <c r="E117" i="2"/>
  <c r="H116" i="2"/>
  <c r="F116" i="2"/>
  <c r="G116" i="2" s="1"/>
  <c r="N106" i="2"/>
  <c r="M106" i="2"/>
  <c r="N104" i="2"/>
  <c r="M104" i="2"/>
  <c r="N103" i="2"/>
  <c r="M103" i="2"/>
  <c r="N100" i="2"/>
  <c r="N99" i="2" s="1"/>
  <c r="M100" i="2"/>
  <c r="M99" i="2" s="1"/>
  <c r="N81" i="2"/>
  <c r="N80" i="2" s="1"/>
  <c r="M81" i="2"/>
  <c r="M80" i="2" s="1"/>
  <c r="K106" i="2"/>
  <c r="J106" i="2"/>
  <c r="K103" i="2"/>
  <c r="K99" i="2" s="1"/>
  <c r="J103" i="2"/>
  <c r="J99" i="2" s="1"/>
  <c r="K100" i="2"/>
  <c r="J100" i="2"/>
  <c r="K81" i="2"/>
  <c r="J81" i="2"/>
  <c r="K80" i="2"/>
  <c r="K113" i="2" s="1"/>
  <c r="J80" i="2"/>
  <c r="H106" i="2"/>
  <c r="G106" i="2"/>
  <c r="H103" i="2"/>
  <c r="H99" i="2" s="1"/>
  <c r="G103" i="2"/>
  <c r="G99" i="2" s="1"/>
  <c r="H100" i="2"/>
  <c r="G100" i="2"/>
  <c r="F99" i="2"/>
  <c r="E99" i="2"/>
  <c r="E113" i="2" s="1"/>
  <c r="H81" i="2"/>
  <c r="H80" i="2" s="1"/>
  <c r="G81" i="2"/>
  <c r="G80" i="2" s="1"/>
  <c r="G113" i="2" s="1"/>
  <c r="F81" i="2"/>
  <c r="F80" i="2" s="1"/>
  <c r="F113" i="2" s="1"/>
  <c r="N78" i="2"/>
  <c r="M72" i="2"/>
  <c r="N69" i="2"/>
  <c r="K75" i="2"/>
  <c r="K71" i="2"/>
  <c r="K70" i="2"/>
  <c r="G78" i="2"/>
  <c r="H78" i="2" s="1"/>
  <c r="F77" i="2"/>
  <c r="G77" i="2" s="1"/>
  <c r="H77" i="2" s="1"/>
  <c r="F76" i="2"/>
  <c r="G76" i="2" s="1"/>
  <c r="H76" i="2" s="1"/>
  <c r="G75" i="2"/>
  <c r="G74" i="2" s="1"/>
  <c r="F75" i="2"/>
  <c r="H73" i="2"/>
  <c r="G73" i="2"/>
  <c r="G71" i="2"/>
  <c r="H71" i="2" s="1"/>
  <c r="H70" i="2"/>
  <c r="F70" i="2"/>
  <c r="G70" i="2" s="1"/>
  <c r="H69" i="2"/>
  <c r="G69" i="2"/>
  <c r="G66" i="2" s="1"/>
  <c r="G67" i="2" s="1"/>
  <c r="F69" i="2"/>
  <c r="N64" i="2"/>
  <c r="K64" i="2"/>
  <c r="K65" i="2"/>
  <c r="F67" i="2"/>
  <c r="H66" i="2"/>
  <c r="F65" i="2"/>
  <c r="E65" i="2"/>
  <c r="H64" i="2"/>
  <c r="H65" i="2" s="1"/>
  <c r="G64" i="2"/>
  <c r="G65" i="2" s="1"/>
  <c r="K57" i="2"/>
  <c r="F57" i="2"/>
  <c r="H57" i="2" s="1"/>
  <c r="G52" i="2"/>
  <c r="F52" i="2"/>
  <c r="E52" i="2"/>
  <c r="H51" i="2"/>
  <c r="H52" i="2" s="1"/>
  <c r="G51" i="2"/>
  <c r="N39" i="2"/>
  <c r="K36" i="2"/>
  <c r="H39" i="2"/>
  <c r="G39" i="2"/>
  <c r="F39" i="2"/>
  <c r="E39" i="2"/>
  <c r="H38" i="2"/>
  <c r="G38" i="2"/>
  <c r="F37" i="2"/>
  <c r="E37" i="2"/>
  <c r="H36" i="2"/>
  <c r="H34" i="2" s="1"/>
  <c r="H35" i="2" s="1"/>
  <c r="G36" i="2"/>
  <c r="G34" i="2" s="1"/>
  <c r="G35" i="2" s="1"/>
  <c r="E35" i="2"/>
  <c r="F34" i="2"/>
  <c r="F35" i="2" s="1"/>
  <c r="N17" i="2"/>
  <c r="K17" i="2"/>
  <c r="M17" i="2" s="1"/>
  <c r="J17" i="2"/>
  <c r="F17" i="2"/>
  <c r="G17" i="2" s="1"/>
  <c r="L113" i="2" l="1"/>
  <c r="M113" i="2"/>
  <c r="N113" i="2"/>
  <c r="J113" i="2"/>
  <c r="H113" i="2"/>
  <c r="K67" i="2"/>
  <c r="M67" i="2"/>
  <c r="J67" i="2"/>
  <c r="N67" i="2"/>
  <c r="H67" i="2"/>
  <c r="H75" i="2"/>
  <c r="J65" i="2"/>
  <c r="G57" i="2"/>
  <c r="N52" i="2"/>
  <c r="K52" i="2"/>
  <c r="K35" i="2"/>
  <c r="K37" i="2"/>
  <c r="G37" i="2"/>
  <c r="H37" i="2"/>
  <c r="H17" i="2"/>
  <c r="M65" i="2" l="1"/>
  <c r="N65" i="2"/>
  <c r="N37" i="2"/>
  <c r="N35" i="2"/>
  <c r="K39" i="2"/>
</calcChain>
</file>

<file path=xl/sharedStrings.xml><?xml version="1.0" encoding="utf-8"?>
<sst xmlns="http://schemas.openxmlformats.org/spreadsheetml/2006/main" count="270" uniqueCount="172">
  <si>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</si>
  <si>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</si>
  <si>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</si>
  <si>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</si>
  <si>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</si>
  <si>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</si>
  <si>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</si>
  <si>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</si>
  <si>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</si>
  <si>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</si>
  <si>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</si>
  <si>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</si>
  <si>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</si>
  <si>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</si>
  <si>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</si>
  <si>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</si>
  <si>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</si>
  <si>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</si>
  <si>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</si>
  <si>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</si>
  <si>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</si>
  <si>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</si>
  <si>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</si>
  <si>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Инвестиции в основной капитал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</si>
  <si>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</si>
  <si>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</si>
  <si>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</si>
  <si>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</si>
  <si>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</si>
  <si>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</si>
  <si>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</si>
  <si>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</si>
  <si>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</si>
  <si>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</si>
  <si>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</si>
  <si>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</si>
  <si>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</si>
  <si>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</si>
  <si>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</si>
  <si>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</si>
  <si>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</si>
  <si>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</si>
  <si>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отчет</t>
  </si>
  <si>
    <t>прогноз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</si>
  <si>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</si>
  <si>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</si>
  <si>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</si>
  <si>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</si>
  <si>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</si>
  <si>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</si>
  <si>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</si>
  <si>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</si>
  <si>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</si>
  <si>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</si>
  <si>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</si>
  <si>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</si>
  <si>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</si>
  <si>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</si>
  <si>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</si>
  <si>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целевой</t>
  </si>
  <si>
    <t>1 вариант</t>
  </si>
  <si>
    <t>2 вариант</t>
  </si>
  <si>
    <t>3 вариант</t>
  </si>
  <si>
    <t>Темп роста отгрузки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</si>
  <si>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</si>
  <si>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Форма 2п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</si>
  <si>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</si>
  <si>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</si>
  <si>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</si>
  <si>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</si>
  <si>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</si>
  <si>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</si>
  <si>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</si>
  <si>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</si>
  <si>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</si>
  <si>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</si>
  <si>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</si>
  <si>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</si>
  <si>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</si>
  <si>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</si>
  <si>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</si>
  <si>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</si>
  <si>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</si>
  <si>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</si>
  <si>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</si>
  <si>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</si>
  <si>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</si>
  <si>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</si>
  <si>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</si>
  <si>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</si>
  <si>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</si>
  <si>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</si>
  <si>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</si>
  <si>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</si>
  <si>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</si>
  <si>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</si>
  <si>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</si>
  <si>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</si>
  <si>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</si>
  <si>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</si>
  <si>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</si>
  <si>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Инвестиции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</si>
  <si>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</si>
  <si>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</si>
  <si>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</si>
  <si>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</si>
  <si>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</si>
  <si>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</si>
  <si>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</si>
  <si>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</si>
  <si>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</si>
  <si>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</si>
  <si>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</si>
  <si>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</si>
  <si>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</si>
  <si>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</si>
  <si>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</si>
  <si>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</si>
  <si>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</si>
  <si>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</si>
  <si>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</si>
  <si>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</si>
  <si>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</si>
  <si>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</si>
  <si>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</si>
  <si>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</si>
  <si>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</si>
  <si>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</si>
  <si>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</si>
  <si>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</si>
  <si>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</si>
  <si>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</si>
  <si>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</si>
  <si>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</si>
  <si>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</si>
  <si>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</si>
  <si>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</si>
  <si>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</si>
  <si>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</si>
  <si>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</si>
  <si>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</si>
  <si>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</si>
  <si>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</si>
  <si>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</si>
  <si>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</si>
  <si>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</si>
  <si>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</si>
  <si>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</si>
  <si>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</si>
  <si>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</si>
  <si>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 в основной капитал по источникам финансирования</t>
  </si>
  <si>
    <t>оценка</t>
  </si>
  <si>
    <t>№ п/п</t>
  </si>
  <si>
    <t xml:space="preserve"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</t>
  </si>
  <si>
    <t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</t>
  </si>
  <si>
    <t>Малое и среднее предпринимательство, включая микропредприятия (без учета индивидуальных предпринимателей)</t>
  </si>
  <si>
    <t>Налоговые доходы консолидированного бюджета муниципального образования Ставропольского края всего, в том числе:</t>
  </si>
  <si>
    <t>субсидии из федерального бюджета</t>
  </si>
  <si>
    <t>субвенции из федерального бюджета</t>
  </si>
  <si>
    <t>дотации из федерального бюджета, втом числе:</t>
  </si>
  <si>
    <t>дотации на выравнивание бюджетной обеспеченности</t>
  </si>
  <si>
    <t>Численность трудовых ресурсов - всего, в том числе:</t>
  </si>
  <si>
    <t>трудоспособное население в трудоспособном возрасте</t>
  </si>
  <si>
    <t>иностранные трудовые мигранты</t>
  </si>
  <si>
    <t>численность лиц старше трудоспособного возраста и подростков, занятых в экономике, в том числе:</t>
  </si>
  <si>
    <t>пенсионеры старше трудоспособного возраста</t>
  </si>
  <si>
    <t>подростки моложе трудоспособного возраста</t>
  </si>
  <si>
    <t>Приложение № 2</t>
  </si>
  <si>
    <t>Численность населения старше трудоспособного возраста (на 1 января года)</t>
  </si>
  <si>
    <t>Основные показатели, представляемые для разработки уточненного прогноза социально-экономического развития Минераловодского муниципального округа Ставропольского края за 2024 отчетный годи и плановый период и 2025-2027 годы</t>
  </si>
  <si>
    <t xml:space="preserve">к распоряжению администрации Минераловодского муниципального округа Ставропольского края                                  </t>
  </si>
  <si>
    <t>от 11.11.2024 № 336-р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</si>
</sst>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_₽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 shrinkToFit="1"/>
    </xf>
    <xf numFmtId="2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vertical="center" wrapText="1" shrinkToFi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15" fillId="0" borderId="0" xfId="0" applyFont="1" applyFill="1" applyAlignment="1">
      <alignment vertical="center"/>
    </xf>
    <xf numFmtId="0" fontId="3" fillId="0" borderId="0" xfId="0" applyFont="1" applyFill="1"/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 shrinkToFi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 shrinkToFit="1"/>
    </xf>
    <xf numFmtId="2" fontId="6" fillId="0" borderId="1" xfId="0" applyNumberFormat="1" applyFont="1" applyFill="1" applyBorder="1" applyAlignment="1" applyProtection="1">
      <alignment horizontal="center" vertical="center" wrapText="1" shrinkToFi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 shrinkToFi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 shrinkToFit="1"/>
    </xf>
    <xf numFmtId="0" fontId="4" fillId="0" borderId="3" xfId="0" applyFont="1" applyFill="1" applyBorder="1" applyAlignment="1" applyProtection="1">
      <alignment horizontal="left" vertical="center" wrapText="1" shrinkToFit="1"/>
    </xf>
    <xf numFmtId="0" fontId="4" fillId="0" borderId="4" xfId="0" applyFont="1" applyFill="1" applyBorder="1" applyAlignment="1" applyProtection="1">
      <alignment horizontal="left" vertical="center" wrapText="1" shrinkToFit="1"/>
    </xf>
    <xf numFmtId="0" fontId="12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4"/>
  <sheetViews>
    <sheetView tabSelected="1" zoomScaleNormal="100" zoomScaleSheetLayoutView="55" workbookViewId="0">
      <selection activeCell="C3" sqref="C3"/>
    </sheetView>
  </sheetViews>
  <sheetFormatPr defaultRowHeight="12.75" x14ac:dyDescent="0.2"/>
  <cols>
    <col min="1" max="1" width="9.140625" style="37"/>
    <col min="2" max="2" width="59.28515625" style="38" customWidth="1"/>
    <col min="3" max="3" width="26.85546875" style="39" customWidth="1"/>
    <col min="4" max="4" width="12" style="38" customWidth="1"/>
    <col min="5" max="5" width="10.7109375" style="38" customWidth="1"/>
    <col min="6" max="6" width="13.7109375" style="38" customWidth="1"/>
    <col min="7" max="7" width="11.140625" style="38" customWidth="1"/>
    <col min="8" max="8" width="11.28515625" style="38" customWidth="1"/>
    <col min="9" max="9" width="10.42578125" style="38" customWidth="1"/>
    <col min="10" max="10" width="11.5703125" style="38" customWidth="1"/>
    <col min="11" max="11" width="13.5703125" style="38" customWidth="1"/>
    <col min="12" max="12" width="10.5703125" style="38" customWidth="1"/>
    <col min="13" max="15" width="11" style="38" customWidth="1"/>
    <col min="16" max="16384" width="9.140625" style="38"/>
  </cols>
  <sheetData>
    <row r="1" spans="1:17" s="35" customFormat="1" ht="14.25" customHeight="1" x14ac:dyDescent="0.45">
      <c r="A1" s="31"/>
      <c r="B1" s="32"/>
      <c r="C1" s="33"/>
      <c r="D1" s="32"/>
      <c r="E1" s="32"/>
      <c r="F1" s="32"/>
      <c r="G1" s="32"/>
      <c r="H1" s="32"/>
      <c r="I1" s="29"/>
      <c r="J1" s="29"/>
      <c r="K1" s="28"/>
      <c r="L1" s="34"/>
      <c r="M1" s="34"/>
      <c r="N1" s="34"/>
      <c r="O1" s="29"/>
      <c r="P1" s="28"/>
      <c r="Q1" s="30"/>
    </row>
    <row r="2" spans="1:17" s="35" customFormat="1" ht="23.25" customHeight="1" x14ac:dyDescent="0.45">
      <c r="A2" s="31"/>
      <c r="B2" s="32"/>
      <c r="C2" s="33"/>
      <c r="D2" s="32"/>
      <c r="E2" s="32"/>
      <c r="F2" s="32"/>
      <c r="G2" s="32"/>
      <c r="H2" s="32"/>
      <c r="I2" s="72" t="s">
        <v>167</v>
      </c>
      <c r="J2" s="73"/>
      <c r="K2" s="73"/>
      <c r="L2" s="73"/>
      <c r="M2" s="73"/>
      <c r="N2" s="34"/>
      <c r="O2" s="29"/>
      <c r="P2" s="28"/>
      <c r="Q2" s="30"/>
    </row>
    <row r="3" spans="1:17" s="35" customFormat="1" ht="39" customHeight="1" x14ac:dyDescent="0.45">
      <c r="A3" s="31"/>
      <c r="B3" s="32"/>
      <c r="C3" s="33"/>
      <c r="D3" s="32"/>
      <c r="E3" s="32"/>
      <c r="F3" s="32"/>
      <c r="G3" s="32"/>
      <c r="H3" s="32"/>
      <c r="I3" s="70" t="s">
        <v>170</v>
      </c>
      <c r="J3" s="71"/>
      <c r="K3" s="71"/>
      <c r="L3" s="71"/>
      <c r="M3" s="71"/>
      <c r="N3" s="71"/>
      <c r="O3" s="71"/>
      <c r="P3" s="34"/>
      <c r="Q3" s="34"/>
    </row>
    <row r="4" spans="1:17" s="35" customFormat="1" ht="22.5" customHeight="1" x14ac:dyDescent="0.45">
      <c r="A4" s="31"/>
      <c r="B4" s="32"/>
      <c r="C4" s="33"/>
      <c r="D4" s="32"/>
      <c r="E4" s="32"/>
      <c r="F4" s="32"/>
      <c r="G4" s="32"/>
      <c r="H4" s="32"/>
      <c r="I4" s="72" t="s">
        <v>171</v>
      </c>
      <c r="J4" s="84"/>
      <c r="K4" s="84"/>
      <c r="L4" s="84"/>
      <c r="M4" s="84"/>
      <c r="N4" s="84"/>
      <c r="O4" s="84"/>
      <c r="P4" s="23"/>
      <c r="Q4" s="25"/>
    </row>
    <row r="5" spans="1:17" s="35" customFormat="1" ht="13.5" customHeight="1" x14ac:dyDescent="0.45">
      <c r="A5" s="31"/>
      <c r="B5" s="32"/>
      <c r="C5" s="33"/>
      <c r="D5" s="32"/>
      <c r="E5" s="32"/>
      <c r="F5" s="32"/>
      <c r="G5" s="32"/>
      <c r="H5" s="32"/>
      <c r="I5" s="24"/>
      <c r="J5" s="24"/>
      <c r="K5" s="23"/>
      <c r="L5" s="36"/>
      <c r="M5" s="69" t="s">
        <v>65</v>
      </c>
      <c r="N5" s="68"/>
      <c r="O5" s="24"/>
      <c r="P5" s="23"/>
      <c r="Q5" s="25"/>
    </row>
    <row r="6" spans="1:17" s="35" customFormat="1" ht="31.5" x14ac:dyDescent="0.45">
      <c r="A6" s="31"/>
      <c r="B6" s="32"/>
      <c r="C6" s="33"/>
      <c r="D6" s="32"/>
      <c r="E6" s="32"/>
      <c r="F6" s="32"/>
      <c r="G6" s="32"/>
      <c r="H6" s="32"/>
      <c r="I6" s="24"/>
      <c r="J6" s="24"/>
      <c r="K6" s="24"/>
      <c r="L6" s="24"/>
      <c r="M6" s="24"/>
      <c r="N6" s="24"/>
      <c r="O6" s="24"/>
      <c r="P6" s="23"/>
      <c r="Q6" s="25"/>
    </row>
    <row r="7" spans="1:17" s="35" customFormat="1" ht="64.5" customHeight="1" x14ac:dyDescent="0.45">
      <c r="A7" s="31"/>
      <c r="B7" s="77" t="s">
        <v>169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</row>
    <row r="9" spans="1:17" s="1" customFormat="1" ht="12.75" customHeight="1" x14ac:dyDescent="0.2">
      <c r="A9" s="81" t="s">
        <v>152</v>
      </c>
      <c r="B9" s="81" t="s">
        <v>40</v>
      </c>
      <c r="C9" s="81" t="s">
        <v>41</v>
      </c>
      <c r="D9" s="3" t="s">
        <v>42</v>
      </c>
      <c r="E9" s="3" t="s">
        <v>42</v>
      </c>
      <c r="F9" s="3" t="s">
        <v>151</v>
      </c>
      <c r="G9" s="74" t="s">
        <v>43</v>
      </c>
      <c r="H9" s="75"/>
      <c r="I9" s="75"/>
      <c r="J9" s="75"/>
      <c r="K9" s="75"/>
      <c r="L9" s="75"/>
      <c r="M9" s="75"/>
      <c r="N9" s="75"/>
      <c r="O9" s="76"/>
    </row>
    <row r="10" spans="1:17" s="1" customFormat="1" ht="18" customHeight="1" x14ac:dyDescent="0.2">
      <c r="A10" s="82"/>
      <c r="B10" s="82"/>
      <c r="C10" s="82"/>
      <c r="D10" s="78">
        <v>2022</v>
      </c>
      <c r="E10" s="78">
        <v>2023</v>
      </c>
      <c r="F10" s="78">
        <v>2024</v>
      </c>
      <c r="G10" s="74">
        <v>2025</v>
      </c>
      <c r="H10" s="75"/>
      <c r="I10" s="76"/>
      <c r="J10" s="74">
        <v>2026</v>
      </c>
      <c r="K10" s="75"/>
      <c r="L10" s="76"/>
      <c r="M10" s="74">
        <v>2027</v>
      </c>
      <c r="N10" s="75"/>
      <c r="O10" s="76"/>
    </row>
    <row r="11" spans="1:17" s="1" customFormat="1" ht="39" customHeight="1" x14ac:dyDescent="0.2">
      <c r="A11" s="82"/>
      <c r="B11" s="82"/>
      <c r="C11" s="82"/>
      <c r="D11" s="79"/>
      <c r="E11" s="79"/>
      <c r="F11" s="79"/>
      <c r="G11" s="3" t="s">
        <v>58</v>
      </c>
      <c r="H11" s="3" t="s">
        <v>57</v>
      </c>
      <c r="I11" s="3" t="s">
        <v>59</v>
      </c>
      <c r="J11" s="3" t="s">
        <v>58</v>
      </c>
      <c r="K11" s="3" t="s">
        <v>57</v>
      </c>
      <c r="L11" s="3" t="s">
        <v>59</v>
      </c>
      <c r="M11" s="3" t="s">
        <v>58</v>
      </c>
      <c r="N11" s="3" t="s">
        <v>57</v>
      </c>
      <c r="O11" s="3" t="s">
        <v>59</v>
      </c>
    </row>
    <row r="12" spans="1:17" s="1" customFormat="1" ht="33" customHeight="1" x14ac:dyDescent="0.2">
      <c r="A12" s="83"/>
      <c r="B12" s="83"/>
      <c r="C12" s="83"/>
      <c r="D12" s="80"/>
      <c r="E12" s="80"/>
      <c r="F12" s="80"/>
      <c r="G12" s="3" t="s">
        <v>60</v>
      </c>
      <c r="H12" s="3" t="s">
        <v>61</v>
      </c>
      <c r="I12" s="3" t="s">
        <v>62</v>
      </c>
      <c r="J12" s="3" t="s">
        <v>60</v>
      </c>
      <c r="K12" s="3" t="s">
        <v>61</v>
      </c>
      <c r="L12" s="3" t="s">
        <v>62</v>
      </c>
      <c r="M12" s="3" t="s">
        <v>60</v>
      </c>
      <c r="N12" s="3" t="s">
        <v>61</v>
      </c>
      <c r="O12" s="3" t="s">
        <v>62</v>
      </c>
    </row>
    <row r="13" spans="1:17" s="1" customFormat="1" ht="15.75" x14ac:dyDescent="0.2">
      <c r="A13" s="65" t="s">
        <v>82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</row>
    <row r="14" spans="1:17" s="1" customFormat="1" ht="39" customHeight="1" x14ac:dyDescent="0.2">
      <c r="A14" s="26">
        <v>1</v>
      </c>
      <c r="B14" s="6" t="s">
        <v>83</v>
      </c>
      <c r="C14" s="5" t="s">
        <v>22</v>
      </c>
      <c r="D14" s="40">
        <v>132.4</v>
      </c>
      <c r="E14" s="40">
        <v>130.87</v>
      </c>
      <c r="F14" s="41">
        <v>130</v>
      </c>
      <c r="G14" s="5">
        <v>129.9</v>
      </c>
      <c r="H14" s="5">
        <v>129.9</v>
      </c>
      <c r="I14" s="5">
        <v>129.9</v>
      </c>
      <c r="J14" s="5">
        <v>129.80000000000001</v>
      </c>
      <c r="K14" s="5">
        <v>129.80000000000001</v>
      </c>
      <c r="L14" s="5">
        <v>129.80000000000001</v>
      </c>
      <c r="M14" s="5">
        <v>129.69999999999999</v>
      </c>
      <c r="N14" s="5">
        <v>129.69999999999999</v>
      </c>
      <c r="O14" s="5">
        <v>129.69999999999999</v>
      </c>
    </row>
    <row r="15" spans="1:17" s="1" customFormat="1" ht="43.5" customHeight="1" x14ac:dyDescent="0.2">
      <c r="A15" s="26">
        <v>2</v>
      </c>
      <c r="B15" s="6" t="s">
        <v>84</v>
      </c>
      <c r="C15" s="5" t="s">
        <v>22</v>
      </c>
      <c r="D15" s="40">
        <v>79.7</v>
      </c>
      <c r="E15" s="5">
        <v>78.3</v>
      </c>
      <c r="F15" s="5">
        <v>78.900000000000006</v>
      </c>
      <c r="G15" s="5">
        <v>79.2</v>
      </c>
      <c r="H15" s="5">
        <v>79.2</v>
      </c>
      <c r="I15" s="5">
        <v>79.2</v>
      </c>
      <c r="J15" s="5">
        <v>79.5</v>
      </c>
      <c r="K15" s="5">
        <v>79.5</v>
      </c>
      <c r="L15" s="5">
        <v>79.5</v>
      </c>
      <c r="M15" s="5">
        <v>79.7</v>
      </c>
      <c r="N15" s="5">
        <v>79.7</v>
      </c>
      <c r="O15" s="5">
        <v>79.7</v>
      </c>
    </row>
    <row r="16" spans="1:17" s="1" customFormat="1" ht="32.25" customHeight="1" x14ac:dyDescent="0.2">
      <c r="A16" s="26">
        <v>3</v>
      </c>
      <c r="B16" s="6" t="s">
        <v>168</v>
      </c>
      <c r="C16" s="5" t="s">
        <v>22</v>
      </c>
      <c r="D16" s="42">
        <v>33.200000000000003</v>
      </c>
      <c r="E16" s="43">
        <v>33</v>
      </c>
      <c r="F16" s="5">
        <v>30.2</v>
      </c>
      <c r="G16" s="5">
        <v>30</v>
      </c>
      <c r="H16" s="5">
        <v>30</v>
      </c>
      <c r="I16" s="5">
        <v>30</v>
      </c>
      <c r="J16" s="5">
        <v>29.9</v>
      </c>
      <c r="K16" s="5">
        <v>29.9</v>
      </c>
      <c r="L16" s="5">
        <v>29.9</v>
      </c>
      <c r="M16" s="5">
        <v>29.8</v>
      </c>
      <c r="N16" s="5">
        <v>29.8</v>
      </c>
      <c r="O16" s="5">
        <v>29.8</v>
      </c>
    </row>
    <row r="17" spans="1:21" s="1" customFormat="1" ht="36.75" customHeight="1" x14ac:dyDescent="0.2">
      <c r="A17" s="26">
        <v>4</v>
      </c>
      <c r="B17" s="6" t="s">
        <v>66</v>
      </c>
      <c r="C17" s="5" t="s">
        <v>67</v>
      </c>
      <c r="D17" s="40">
        <v>73.900000000000006</v>
      </c>
      <c r="E17" s="5">
        <v>74.239999999999995</v>
      </c>
      <c r="F17" s="10">
        <f>SUM(E17*100.46/100)</f>
        <v>74.581503999999981</v>
      </c>
      <c r="G17" s="10">
        <f>SUM(F17*100.44/100)</f>
        <v>74.909662617599977</v>
      </c>
      <c r="H17" s="10">
        <f>SUM(F17*100.44/100)</f>
        <v>74.909662617599977</v>
      </c>
      <c r="I17" s="10">
        <v>74.91</v>
      </c>
      <c r="J17" s="10">
        <f>SUM(H17*100.43/100)</f>
        <v>75.231774166855672</v>
      </c>
      <c r="K17" s="10">
        <f>SUM(I17*100.43/100)</f>
        <v>75.232112999999998</v>
      </c>
      <c r="L17" s="10">
        <v>75.23</v>
      </c>
      <c r="M17" s="10">
        <f>SUM(K17*100.42/100)</f>
        <v>75.5480878746</v>
      </c>
      <c r="N17" s="10">
        <f>SUM(L17*100.42/100)</f>
        <v>75.545966000000007</v>
      </c>
      <c r="O17" s="10">
        <v>75.55</v>
      </c>
    </row>
    <row r="18" spans="1:21" s="1" customFormat="1" ht="48" customHeight="1" x14ac:dyDescent="0.2">
      <c r="A18" s="26">
        <v>5</v>
      </c>
      <c r="B18" s="6" t="s">
        <v>44</v>
      </c>
      <c r="C18" s="5" t="s">
        <v>85</v>
      </c>
      <c r="D18" s="40">
        <v>9.6999999999999993</v>
      </c>
      <c r="E18" s="5">
        <v>8.6999999999999993</v>
      </c>
      <c r="F18" s="5">
        <v>9.8000000000000007</v>
      </c>
      <c r="G18" s="5">
        <v>9.6999999999999993</v>
      </c>
      <c r="H18" s="5">
        <v>9.6999999999999993</v>
      </c>
      <c r="I18" s="5">
        <v>9.6999999999999993</v>
      </c>
      <c r="J18" s="5">
        <v>9.6</v>
      </c>
      <c r="K18" s="5">
        <v>9.6</v>
      </c>
      <c r="L18" s="5">
        <v>9.6</v>
      </c>
      <c r="M18" s="5">
        <v>9.5</v>
      </c>
      <c r="N18" s="5">
        <v>9.5</v>
      </c>
      <c r="O18" s="5">
        <v>9.5</v>
      </c>
    </row>
    <row r="19" spans="1:21" s="1" customFormat="1" ht="35.25" customHeight="1" x14ac:dyDescent="0.2">
      <c r="A19" s="26">
        <v>6</v>
      </c>
      <c r="B19" s="6" t="s">
        <v>45</v>
      </c>
      <c r="C19" s="5" t="s">
        <v>46</v>
      </c>
      <c r="D19" s="40">
        <v>13.6</v>
      </c>
      <c r="E19" s="5">
        <v>13</v>
      </c>
      <c r="F19" s="5">
        <v>12.8</v>
      </c>
      <c r="G19" s="5">
        <v>12.7</v>
      </c>
      <c r="H19" s="5">
        <v>12.7</v>
      </c>
      <c r="I19" s="5">
        <v>12.7</v>
      </c>
      <c r="J19" s="5">
        <v>12.6</v>
      </c>
      <c r="K19" s="5">
        <v>12.6</v>
      </c>
      <c r="L19" s="5">
        <v>12.6</v>
      </c>
      <c r="M19" s="5">
        <v>12.5</v>
      </c>
      <c r="N19" s="5">
        <v>12.5</v>
      </c>
      <c r="O19" s="5">
        <v>12.5</v>
      </c>
    </row>
    <row r="20" spans="1:21" s="1" customFormat="1" ht="35.25" customHeight="1" x14ac:dyDescent="0.2">
      <c r="A20" s="26">
        <v>7</v>
      </c>
      <c r="B20" s="6" t="s">
        <v>47</v>
      </c>
      <c r="C20" s="5" t="s">
        <v>48</v>
      </c>
      <c r="D20" s="40">
        <v>-3.4</v>
      </c>
      <c r="E20" s="5">
        <v>-0.56999999999999995</v>
      </c>
      <c r="F20" s="5">
        <v>-0.4</v>
      </c>
      <c r="G20" s="5">
        <v>-0.4</v>
      </c>
      <c r="H20" s="5">
        <v>-0.4</v>
      </c>
      <c r="I20" s="5">
        <v>-0.4</v>
      </c>
      <c r="J20" s="5">
        <v>-0.39</v>
      </c>
      <c r="K20" s="5">
        <v>-0.39</v>
      </c>
      <c r="L20" s="5">
        <v>-0.39</v>
      </c>
      <c r="M20" s="5">
        <v>-0.38</v>
      </c>
      <c r="N20" s="5">
        <v>-0.38</v>
      </c>
      <c r="O20" s="5">
        <v>-0.38</v>
      </c>
    </row>
    <row r="21" spans="1:21" s="1" customFormat="1" ht="31.5" customHeight="1" x14ac:dyDescent="0.2">
      <c r="A21" s="26">
        <v>8</v>
      </c>
      <c r="B21" s="6" t="s">
        <v>68</v>
      </c>
      <c r="C21" s="5" t="s">
        <v>22</v>
      </c>
      <c r="D21" s="40">
        <v>-0.76</v>
      </c>
      <c r="E21" s="5">
        <v>-0.27</v>
      </c>
      <c r="F21" s="5">
        <v>-0.42</v>
      </c>
      <c r="G21" s="5">
        <v>-0.35</v>
      </c>
      <c r="H21" s="5">
        <v>-0.35</v>
      </c>
      <c r="I21" s="5">
        <v>-0.35</v>
      </c>
      <c r="J21" s="5">
        <v>-0.3</v>
      </c>
      <c r="K21" s="5">
        <v>-0.3</v>
      </c>
      <c r="L21" s="5">
        <v>-0.3</v>
      </c>
      <c r="M21" s="5">
        <v>-0.28000000000000003</v>
      </c>
      <c r="N21" s="5">
        <v>-0.28000000000000003</v>
      </c>
      <c r="O21" s="5">
        <v>-0.28000000000000003</v>
      </c>
    </row>
    <row r="22" spans="1:21" s="1" customFormat="1" ht="18.75" customHeight="1" x14ac:dyDescent="0.2">
      <c r="A22" s="65" t="s">
        <v>87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</row>
    <row r="23" spans="1:21" s="1" customFormat="1" ht="49.5" customHeight="1" x14ac:dyDescent="0.2">
      <c r="A23" s="26">
        <v>9</v>
      </c>
      <c r="B23" s="7" t="s">
        <v>153</v>
      </c>
      <c r="C23" s="3" t="s">
        <v>49</v>
      </c>
      <c r="D23" s="44">
        <v>21096.7</v>
      </c>
      <c r="E23" s="44">
        <v>26014.46</v>
      </c>
      <c r="F23" s="44">
        <v>28347.55</v>
      </c>
      <c r="G23" s="44">
        <v>29796.42</v>
      </c>
      <c r="H23" s="44">
        <v>30032.07</v>
      </c>
      <c r="I23" s="44">
        <v>30032.07</v>
      </c>
      <c r="J23" s="44">
        <v>30818.400000000001</v>
      </c>
      <c r="K23" s="44">
        <v>31172.76</v>
      </c>
      <c r="L23" s="44">
        <v>31172.76</v>
      </c>
      <c r="M23" s="44">
        <v>32246.75</v>
      </c>
      <c r="N23" s="44">
        <v>32301.77</v>
      </c>
      <c r="O23" s="44">
        <v>32301.77</v>
      </c>
    </row>
    <row r="24" spans="1:21" s="1" customFormat="1" ht="53.25" customHeight="1" x14ac:dyDescent="0.2">
      <c r="A24" s="26">
        <v>10</v>
      </c>
      <c r="B24" s="7" t="s">
        <v>154</v>
      </c>
      <c r="C24" s="3" t="s">
        <v>37</v>
      </c>
      <c r="D24" s="44">
        <v>108.56</v>
      </c>
      <c r="E24" s="44">
        <v>123.31</v>
      </c>
      <c r="F24" s="44">
        <v>108.97</v>
      </c>
      <c r="G24" s="44">
        <v>105.11</v>
      </c>
      <c r="H24" s="44">
        <v>105.94</v>
      </c>
      <c r="I24" s="44">
        <v>105.94</v>
      </c>
      <c r="J24" s="44">
        <v>103.43</v>
      </c>
      <c r="K24" s="44">
        <v>103.8</v>
      </c>
      <c r="L24" s="44">
        <v>103.8</v>
      </c>
      <c r="M24" s="44">
        <v>104.63</v>
      </c>
      <c r="N24" s="44">
        <v>103.62</v>
      </c>
      <c r="O24" s="44">
        <v>103.62</v>
      </c>
    </row>
    <row r="25" spans="1:21" s="1" customFormat="1" ht="48.75" customHeight="1" x14ac:dyDescent="0.2">
      <c r="A25" s="26">
        <v>11</v>
      </c>
      <c r="B25" s="7" t="s">
        <v>51</v>
      </c>
      <c r="C25" s="3" t="s">
        <v>49</v>
      </c>
      <c r="D25" s="40">
        <v>19535.830000000002</v>
      </c>
      <c r="E25" s="45">
        <v>23977.040000000001</v>
      </c>
      <c r="F25" s="40">
        <v>26182.93</v>
      </c>
      <c r="G25" s="40">
        <v>27439.71</v>
      </c>
      <c r="H25" s="40">
        <v>27675.35</v>
      </c>
      <c r="I25" s="40">
        <v>27675.35</v>
      </c>
      <c r="J25" s="40">
        <v>28372.66</v>
      </c>
      <c r="K25" s="40">
        <v>28727.02</v>
      </c>
      <c r="L25" s="40">
        <v>28727.02</v>
      </c>
      <c r="M25" s="40">
        <v>29706.17</v>
      </c>
      <c r="N25" s="40">
        <v>29761.19</v>
      </c>
      <c r="O25" s="40">
        <v>29761.19</v>
      </c>
    </row>
    <row r="26" spans="1:21" s="1" customFormat="1" ht="47.25" customHeight="1" x14ac:dyDescent="0.2">
      <c r="A26" s="26">
        <v>12</v>
      </c>
      <c r="B26" s="7" t="s">
        <v>52</v>
      </c>
      <c r="C26" s="3" t="s">
        <v>37</v>
      </c>
      <c r="D26" s="40">
        <v>109.32</v>
      </c>
      <c r="E26" s="40">
        <v>122.73</v>
      </c>
      <c r="F26" s="40">
        <v>109.2</v>
      </c>
      <c r="G26" s="40">
        <v>104.8</v>
      </c>
      <c r="H26" s="40">
        <v>105.7</v>
      </c>
      <c r="I26" s="40">
        <v>105.7</v>
      </c>
      <c r="J26" s="40">
        <v>103.4</v>
      </c>
      <c r="K26" s="40">
        <v>103.8</v>
      </c>
      <c r="L26" s="40">
        <v>103.8</v>
      </c>
      <c r="M26" s="40">
        <v>104.7</v>
      </c>
      <c r="N26" s="40">
        <v>103.6</v>
      </c>
      <c r="O26" s="40">
        <v>103.6</v>
      </c>
    </row>
    <row r="27" spans="1:21" s="1" customFormat="1" ht="18.75" customHeight="1" x14ac:dyDescent="0.2">
      <c r="A27" s="65" t="s">
        <v>53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</row>
    <row r="28" spans="1:21" s="1" customFormat="1" ht="70.5" customHeight="1" x14ac:dyDescent="0.2">
      <c r="A28" s="26">
        <v>13</v>
      </c>
      <c r="B28" s="7" t="s">
        <v>64</v>
      </c>
      <c r="C28" s="8" t="s">
        <v>49</v>
      </c>
      <c r="D28" s="40">
        <v>1100.33</v>
      </c>
      <c r="E28" s="40">
        <v>1246.8699999999999</v>
      </c>
      <c r="F28" s="40">
        <v>1317.94</v>
      </c>
      <c r="G28" s="40">
        <v>1443.15</v>
      </c>
      <c r="H28" s="40">
        <v>1443.15</v>
      </c>
      <c r="I28" s="40">
        <v>1443.15</v>
      </c>
      <c r="J28" s="40">
        <v>1496.54</v>
      </c>
      <c r="K28" s="40">
        <v>1496.54</v>
      </c>
      <c r="L28" s="40">
        <v>1496.54</v>
      </c>
      <c r="M28" s="40">
        <v>1553.41</v>
      </c>
      <c r="N28" s="40">
        <v>1553.41</v>
      </c>
      <c r="O28" s="40">
        <v>1553.41</v>
      </c>
    </row>
    <row r="29" spans="1:21" s="1" customFormat="1" ht="48.75" customHeight="1" x14ac:dyDescent="0.2">
      <c r="A29" s="26">
        <v>14</v>
      </c>
      <c r="B29" s="7" t="s">
        <v>63</v>
      </c>
      <c r="C29" s="8" t="s">
        <v>37</v>
      </c>
      <c r="D29" s="40">
        <v>96.66</v>
      </c>
      <c r="E29" s="40">
        <v>113.32</v>
      </c>
      <c r="F29" s="40">
        <v>105.7</v>
      </c>
      <c r="G29" s="40">
        <v>109.5</v>
      </c>
      <c r="H29" s="40">
        <v>109.5</v>
      </c>
      <c r="I29" s="40">
        <v>109.5</v>
      </c>
      <c r="J29" s="40">
        <v>103.7</v>
      </c>
      <c r="K29" s="40">
        <v>103.7</v>
      </c>
      <c r="L29" s="40">
        <v>103.7</v>
      </c>
      <c r="M29" s="40">
        <v>103.8</v>
      </c>
      <c r="N29" s="40">
        <v>103.8</v>
      </c>
      <c r="O29" s="40">
        <v>103.8</v>
      </c>
    </row>
    <row r="30" spans="1:21" s="1" customFormat="1" ht="35.25" customHeight="1" x14ac:dyDescent="0.2">
      <c r="A30" s="65" t="s">
        <v>56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7"/>
    </row>
    <row r="31" spans="1:21" s="1" customFormat="1" ht="82.5" customHeight="1" x14ac:dyDescent="0.2">
      <c r="A31" s="26">
        <v>15</v>
      </c>
      <c r="B31" s="7" t="s">
        <v>54</v>
      </c>
      <c r="C31" s="3" t="s">
        <v>49</v>
      </c>
      <c r="D31" s="40">
        <v>460.54</v>
      </c>
      <c r="E31" s="40">
        <v>790.55</v>
      </c>
      <c r="F31" s="40">
        <v>846.68</v>
      </c>
      <c r="G31" s="40">
        <v>913.57</v>
      </c>
      <c r="H31" s="40">
        <v>913.57</v>
      </c>
      <c r="I31" s="40">
        <v>913.57</v>
      </c>
      <c r="J31" s="40">
        <v>949.2</v>
      </c>
      <c r="K31" s="40">
        <v>949.2</v>
      </c>
      <c r="L31" s="40">
        <v>949.2</v>
      </c>
      <c r="M31" s="40">
        <v>987.16</v>
      </c>
      <c r="N31" s="40">
        <v>987.16</v>
      </c>
      <c r="O31" s="40">
        <v>987.16</v>
      </c>
      <c r="P31" s="22"/>
      <c r="Q31" s="22"/>
      <c r="R31" s="22"/>
      <c r="S31" s="22"/>
      <c r="T31" s="22"/>
      <c r="U31" s="22"/>
    </row>
    <row r="32" spans="1:21" s="1" customFormat="1" ht="60.75" customHeight="1" x14ac:dyDescent="0.2">
      <c r="A32" s="26">
        <v>16</v>
      </c>
      <c r="B32" s="7" t="s">
        <v>55</v>
      </c>
      <c r="C32" s="3" t="s">
        <v>37</v>
      </c>
      <c r="D32" s="40">
        <v>108.53</v>
      </c>
      <c r="E32" s="40">
        <v>171.66</v>
      </c>
      <c r="F32" s="40">
        <v>107.1</v>
      </c>
      <c r="G32" s="40">
        <v>107.9</v>
      </c>
      <c r="H32" s="40">
        <v>107.9</v>
      </c>
      <c r="I32" s="40">
        <v>107.9</v>
      </c>
      <c r="J32" s="40">
        <v>103.9</v>
      </c>
      <c r="K32" s="40">
        <v>103.9</v>
      </c>
      <c r="L32" s="40">
        <v>103.9</v>
      </c>
      <c r="M32" s="40">
        <v>104</v>
      </c>
      <c r="N32" s="40">
        <v>104</v>
      </c>
      <c r="O32" s="40">
        <v>104</v>
      </c>
      <c r="P32" s="22"/>
      <c r="Q32" s="22"/>
      <c r="R32" s="22"/>
      <c r="S32" s="22"/>
      <c r="T32" s="22"/>
      <c r="U32" s="22"/>
    </row>
    <row r="33" spans="1:15" s="1" customFormat="1" ht="15.75" x14ac:dyDescent="0.2">
      <c r="A33" s="65" t="s">
        <v>89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7"/>
    </row>
    <row r="34" spans="1:15" s="1" customFormat="1" ht="31.5" customHeight="1" x14ac:dyDescent="0.2">
      <c r="A34" s="26">
        <v>17</v>
      </c>
      <c r="B34" s="6" t="s">
        <v>0</v>
      </c>
      <c r="C34" s="5" t="s">
        <v>86</v>
      </c>
      <c r="D34" s="5">
        <v>5207.8999999999996</v>
      </c>
      <c r="E34" s="10">
        <v>6749.1</v>
      </c>
      <c r="F34" s="10">
        <f t="shared" ref="F34:H34" si="0">F36+F38</f>
        <v>6715</v>
      </c>
      <c r="G34" s="10">
        <f t="shared" si="0"/>
        <v>7095.7500000000009</v>
      </c>
      <c r="H34" s="10">
        <f t="shared" si="0"/>
        <v>7129.3249999999998</v>
      </c>
      <c r="I34" s="10">
        <v>7129.33</v>
      </c>
      <c r="J34" s="10">
        <v>7397.46</v>
      </c>
      <c r="K34" s="10">
        <v>7447.29</v>
      </c>
      <c r="L34" s="10">
        <v>7447.29</v>
      </c>
      <c r="M34" s="10">
        <v>7824.49</v>
      </c>
      <c r="N34" s="10">
        <v>7742.22</v>
      </c>
      <c r="O34" s="10">
        <v>7742.22</v>
      </c>
    </row>
    <row r="35" spans="1:15" s="1" customFormat="1" ht="34.5" customHeight="1" x14ac:dyDescent="0.2">
      <c r="A35" s="26">
        <v>18</v>
      </c>
      <c r="B35" s="6" t="s">
        <v>1</v>
      </c>
      <c r="C35" s="5" t="s">
        <v>88</v>
      </c>
      <c r="D35" s="5">
        <v>108.17</v>
      </c>
      <c r="E35" s="10">
        <f>E34/D34/97.7*10000</f>
        <v>132.64432157562061</v>
      </c>
      <c r="F35" s="10">
        <f>F34/E34/107.6*10000</f>
        <v>92.467237405025884</v>
      </c>
      <c r="G35" s="10">
        <f>G34/F34/105.1*10000</f>
        <v>100.5424752372134</v>
      </c>
      <c r="H35" s="10">
        <f>H34/F34/105.6*10000</f>
        <v>100.53990669915837</v>
      </c>
      <c r="I35" s="10">
        <v>100.54</v>
      </c>
      <c r="J35" s="10">
        <v>100.24</v>
      </c>
      <c r="K35" s="10">
        <f>K34/I34/104.3*10000</f>
        <v>100.15329447014139</v>
      </c>
      <c r="L35" s="10">
        <v>100.15</v>
      </c>
      <c r="M35" s="10">
        <v>100.54</v>
      </c>
      <c r="N35" s="10">
        <f>N34/L34/103.8*10000</f>
        <v>100.15436658392019</v>
      </c>
      <c r="O35" s="10">
        <v>100.15</v>
      </c>
    </row>
    <row r="36" spans="1:15" s="1" customFormat="1" ht="24.75" customHeight="1" x14ac:dyDescent="0.2">
      <c r="A36" s="26">
        <v>19</v>
      </c>
      <c r="B36" s="6" t="s">
        <v>2</v>
      </c>
      <c r="C36" s="5" t="s">
        <v>86</v>
      </c>
      <c r="D36" s="5">
        <v>4555.3</v>
      </c>
      <c r="E36" s="10">
        <v>6188.8</v>
      </c>
      <c r="F36" s="10">
        <v>6170</v>
      </c>
      <c r="G36" s="10">
        <f>F36*105.8%</f>
        <v>6527.8600000000006</v>
      </c>
      <c r="H36" s="10">
        <f>F36*106.3%</f>
        <v>6558.71</v>
      </c>
      <c r="I36" s="10">
        <v>6558.71</v>
      </c>
      <c r="J36" s="10">
        <v>6808.56</v>
      </c>
      <c r="K36" s="10">
        <f>I36*104.5%</f>
        <v>6853.8519499999993</v>
      </c>
      <c r="L36" s="10">
        <v>6853.85</v>
      </c>
      <c r="M36" s="10">
        <v>7210.26</v>
      </c>
      <c r="N36" s="10">
        <v>7128.01</v>
      </c>
      <c r="O36" s="10">
        <v>7128.01</v>
      </c>
    </row>
    <row r="37" spans="1:15" s="1" customFormat="1" ht="35.25" customHeight="1" x14ac:dyDescent="0.2">
      <c r="A37" s="26">
        <v>20</v>
      </c>
      <c r="B37" s="6" t="s">
        <v>3</v>
      </c>
      <c r="C37" s="5" t="s">
        <v>88</v>
      </c>
      <c r="D37" s="5">
        <v>73.2</v>
      </c>
      <c r="E37" s="10">
        <f>E36/D36/92.1*10000</f>
        <v>147.51284331601377</v>
      </c>
      <c r="F37" s="10">
        <f>F36/E36/105.5*10000</f>
        <v>94.498791885785408</v>
      </c>
      <c r="G37" s="10">
        <f>G36/F36/105.8*10000</f>
        <v>100</v>
      </c>
      <c r="H37" s="10">
        <f>H36/F36/106.3*10000</f>
        <v>100</v>
      </c>
      <c r="I37" s="10">
        <v>100</v>
      </c>
      <c r="J37" s="10">
        <v>100</v>
      </c>
      <c r="K37" s="10">
        <f>K36/I36/104.5*10000</f>
        <v>99.999999999999986</v>
      </c>
      <c r="L37" s="10">
        <v>100</v>
      </c>
      <c r="M37" s="10">
        <v>100</v>
      </c>
      <c r="N37" s="10">
        <f>N36/L36/104*10000</f>
        <v>100.00008417503695</v>
      </c>
      <c r="O37" s="10">
        <v>100</v>
      </c>
    </row>
    <row r="38" spans="1:15" s="1" customFormat="1" ht="15.75" x14ac:dyDescent="0.2">
      <c r="A38" s="26">
        <v>21</v>
      </c>
      <c r="B38" s="6" t="s">
        <v>4</v>
      </c>
      <c r="C38" s="5" t="s">
        <v>86</v>
      </c>
      <c r="D38" s="5">
        <v>652.6</v>
      </c>
      <c r="E38" s="10">
        <v>560.32000000000005</v>
      </c>
      <c r="F38" s="10">
        <v>545</v>
      </c>
      <c r="G38" s="10">
        <f>F38*104.2%</f>
        <v>567.89</v>
      </c>
      <c r="H38" s="10">
        <f>F38*104.7%</f>
        <v>570.61500000000001</v>
      </c>
      <c r="I38" s="10">
        <v>570.62</v>
      </c>
      <c r="J38" s="10">
        <v>588.9</v>
      </c>
      <c r="K38" s="10">
        <v>593.44000000000005</v>
      </c>
      <c r="L38" s="10">
        <v>593.44000000000005</v>
      </c>
      <c r="M38" s="10">
        <v>614.22</v>
      </c>
      <c r="N38" s="10">
        <v>614.21</v>
      </c>
      <c r="O38" s="10">
        <v>614.22</v>
      </c>
    </row>
    <row r="39" spans="1:15" s="1" customFormat="1" ht="36" customHeight="1" x14ac:dyDescent="0.2">
      <c r="A39" s="26">
        <v>22</v>
      </c>
      <c r="B39" s="6" t="s">
        <v>5</v>
      </c>
      <c r="C39" s="5" t="s">
        <v>88</v>
      </c>
      <c r="D39" s="5">
        <v>110.7</v>
      </c>
      <c r="E39" s="10">
        <f>E38/D38/105*10000</f>
        <v>81.771084161522424</v>
      </c>
      <c r="F39" s="10">
        <f>F38/E38/110.2*10000</f>
        <v>88.263020042475063</v>
      </c>
      <c r="G39" s="10">
        <f>G38/F38/104.2*10000</f>
        <v>100</v>
      </c>
      <c r="H39" s="10">
        <f>H38/F38/104.7*10000</f>
        <v>99.999999999999986</v>
      </c>
      <c r="I39" s="10">
        <v>100</v>
      </c>
      <c r="J39" s="10">
        <v>100</v>
      </c>
      <c r="K39" s="10">
        <f>K38/I38/104*10000</f>
        <v>99.999191163188215</v>
      </c>
      <c r="L39" s="10">
        <v>100</v>
      </c>
      <c r="M39" s="10">
        <v>100</v>
      </c>
      <c r="N39" s="10">
        <f>N38/L38/103.5*10000</f>
        <v>99.9999348757364</v>
      </c>
      <c r="O39" s="10">
        <v>100</v>
      </c>
    </row>
    <row r="40" spans="1:15" s="1" customFormat="1" ht="18.75" customHeight="1" x14ac:dyDescent="0.2">
      <c r="A40" s="65" t="s">
        <v>135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</row>
    <row r="41" spans="1:15" s="1" customFormat="1" ht="30" customHeight="1" x14ac:dyDescent="0.2">
      <c r="A41" s="26">
        <v>23</v>
      </c>
      <c r="B41" s="9" t="s">
        <v>6</v>
      </c>
      <c r="C41" s="3" t="s">
        <v>7</v>
      </c>
      <c r="D41" s="5">
        <v>218.8</v>
      </c>
      <c r="E41" s="5">
        <v>277.3</v>
      </c>
      <c r="F41" s="5">
        <v>140.19999999999999</v>
      </c>
      <c r="G41" s="5">
        <v>150</v>
      </c>
      <c r="H41" s="5">
        <v>150</v>
      </c>
      <c r="I41" s="5">
        <v>150</v>
      </c>
      <c r="J41" s="5">
        <v>159</v>
      </c>
      <c r="K41" s="5">
        <v>159</v>
      </c>
      <c r="L41" s="5">
        <v>159</v>
      </c>
      <c r="M41" s="5">
        <v>170</v>
      </c>
      <c r="N41" s="5">
        <v>170</v>
      </c>
      <c r="O41" s="5">
        <v>170</v>
      </c>
    </row>
    <row r="42" spans="1:15" s="1" customFormat="1" ht="19.5" customHeight="1" x14ac:dyDescent="0.2">
      <c r="A42" s="26">
        <v>24</v>
      </c>
      <c r="B42" s="9" t="s">
        <v>8</v>
      </c>
      <c r="C42" s="3" t="s">
        <v>7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</row>
    <row r="43" spans="1:15" s="1" customFormat="1" ht="29.25" customHeight="1" x14ac:dyDescent="0.2">
      <c r="A43" s="26">
        <v>25</v>
      </c>
      <c r="B43" s="9" t="s">
        <v>9</v>
      </c>
      <c r="C43" s="3" t="s">
        <v>7</v>
      </c>
      <c r="D43" s="5">
        <v>29.7</v>
      </c>
      <c r="E43" s="5">
        <v>30.3</v>
      </c>
      <c r="F43" s="5">
        <v>18.399999999999999</v>
      </c>
      <c r="G43" s="5">
        <v>21</v>
      </c>
      <c r="H43" s="5">
        <v>21</v>
      </c>
      <c r="I43" s="5">
        <v>21</v>
      </c>
      <c r="J43" s="5">
        <v>22</v>
      </c>
      <c r="K43" s="5">
        <v>22</v>
      </c>
      <c r="L43" s="5">
        <v>22</v>
      </c>
      <c r="M43" s="5">
        <v>24</v>
      </c>
      <c r="N43" s="5">
        <v>24</v>
      </c>
      <c r="O43" s="5">
        <v>24</v>
      </c>
    </row>
    <row r="44" spans="1:15" s="1" customFormat="1" ht="24.75" customHeight="1" x14ac:dyDescent="0.2">
      <c r="A44" s="26">
        <v>26</v>
      </c>
      <c r="B44" s="9" t="s">
        <v>10</v>
      </c>
      <c r="C44" s="3" t="s">
        <v>7</v>
      </c>
      <c r="D44" s="5">
        <v>20.399999999999999</v>
      </c>
      <c r="E44" s="5">
        <v>21.7</v>
      </c>
      <c r="F44" s="5">
        <v>13.5</v>
      </c>
      <c r="G44" s="5">
        <v>15</v>
      </c>
      <c r="H44" s="5">
        <v>15</v>
      </c>
      <c r="I44" s="5">
        <v>15</v>
      </c>
      <c r="J44" s="5">
        <v>15.7</v>
      </c>
      <c r="K44" s="5">
        <v>15.7</v>
      </c>
      <c r="L44" s="5">
        <v>15.7</v>
      </c>
      <c r="M44" s="5">
        <v>16.399999999999999</v>
      </c>
      <c r="N44" s="5">
        <v>16.399999999999999</v>
      </c>
      <c r="O44" s="5">
        <v>16.399999999999999</v>
      </c>
    </row>
    <row r="45" spans="1:15" s="1" customFormat="1" ht="23.25" customHeight="1" x14ac:dyDescent="0.2">
      <c r="A45" s="26">
        <v>27</v>
      </c>
      <c r="B45" s="9" t="s">
        <v>11</v>
      </c>
      <c r="C45" s="3" t="s">
        <v>7</v>
      </c>
      <c r="D45" s="5">
        <v>10.8</v>
      </c>
      <c r="E45" s="5">
        <v>8</v>
      </c>
      <c r="F45" s="5">
        <v>8</v>
      </c>
      <c r="G45" s="5">
        <v>8</v>
      </c>
      <c r="H45" s="5">
        <v>8</v>
      </c>
      <c r="I45" s="5">
        <v>8</v>
      </c>
      <c r="J45" s="5">
        <v>8</v>
      </c>
      <c r="K45" s="5">
        <v>8</v>
      </c>
      <c r="L45" s="5">
        <v>8</v>
      </c>
      <c r="M45" s="5">
        <v>8</v>
      </c>
      <c r="N45" s="5">
        <v>8</v>
      </c>
      <c r="O45" s="5">
        <v>8</v>
      </c>
    </row>
    <row r="46" spans="1:15" s="1" customFormat="1" ht="36" customHeight="1" x14ac:dyDescent="0.2">
      <c r="A46" s="26">
        <v>28</v>
      </c>
      <c r="B46" s="9" t="s">
        <v>12</v>
      </c>
      <c r="C46" s="3" t="s">
        <v>7</v>
      </c>
      <c r="D46" s="5">
        <v>5.4</v>
      </c>
      <c r="E46" s="5">
        <v>6.7</v>
      </c>
      <c r="F46" s="5">
        <v>6.7</v>
      </c>
      <c r="G46" s="5">
        <v>6.7</v>
      </c>
      <c r="H46" s="5">
        <v>6.7</v>
      </c>
      <c r="I46" s="5">
        <v>6.7</v>
      </c>
      <c r="J46" s="5">
        <v>6.7</v>
      </c>
      <c r="K46" s="5">
        <v>6.7</v>
      </c>
      <c r="L46" s="5">
        <v>6.7</v>
      </c>
      <c r="M46" s="5">
        <v>6.7</v>
      </c>
      <c r="N46" s="5">
        <v>6.7</v>
      </c>
      <c r="O46" s="5">
        <v>6.7</v>
      </c>
    </row>
    <row r="47" spans="1:15" s="1" customFormat="1" ht="36" customHeight="1" x14ac:dyDescent="0.2">
      <c r="A47" s="26">
        <v>29</v>
      </c>
      <c r="B47" s="9" t="s">
        <v>13</v>
      </c>
      <c r="C47" s="3" t="s">
        <v>7</v>
      </c>
      <c r="D47" s="5">
        <v>4.8</v>
      </c>
      <c r="E47" s="5">
        <v>3.29</v>
      </c>
      <c r="F47" s="5">
        <v>3.1</v>
      </c>
      <c r="G47" s="5">
        <v>3.1</v>
      </c>
      <c r="H47" s="5">
        <v>3.1</v>
      </c>
      <c r="I47" s="5">
        <v>3.1</v>
      </c>
      <c r="J47" s="5">
        <v>3.1</v>
      </c>
      <c r="K47" s="5">
        <v>3.1</v>
      </c>
      <c r="L47" s="5">
        <v>3.1</v>
      </c>
      <c r="M47" s="5">
        <v>3.1</v>
      </c>
      <c r="N47" s="5">
        <v>3.1</v>
      </c>
      <c r="O47" s="5">
        <v>3.1</v>
      </c>
    </row>
    <row r="48" spans="1:15" s="1" customFormat="1" ht="26.25" customHeight="1" x14ac:dyDescent="0.2">
      <c r="A48" s="26">
        <v>30</v>
      </c>
      <c r="B48" s="9" t="s">
        <v>14</v>
      </c>
      <c r="C48" s="3" t="s">
        <v>7</v>
      </c>
      <c r="D48" s="5">
        <v>20.5</v>
      </c>
      <c r="E48" s="5">
        <v>14.78</v>
      </c>
      <c r="F48" s="5">
        <v>14.78</v>
      </c>
      <c r="G48" s="5">
        <v>14.78</v>
      </c>
      <c r="H48" s="5">
        <v>14.78</v>
      </c>
      <c r="I48" s="5">
        <v>14.78</v>
      </c>
      <c r="J48" s="5">
        <v>14.78</v>
      </c>
      <c r="K48" s="5">
        <v>14.78</v>
      </c>
      <c r="L48" s="5">
        <v>14.78</v>
      </c>
      <c r="M48" s="5">
        <v>14.78</v>
      </c>
      <c r="N48" s="5">
        <v>14.78</v>
      </c>
      <c r="O48" s="5">
        <v>14.78</v>
      </c>
    </row>
    <row r="49" spans="1:15" s="1" customFormat="1" ht="23.25" customHeight="1" x14ac:dyDescent="0.2">
      <c r="A49" s="26">
        <v>31</v>
      </c>
      <c r="B49" s="9" t="s">
        <v>15</v>
      </c>
      <c r="C49" s="3" t="s">
        <v>16</v>
      </c>
      <c r="D49" s="5">
        <v>5.09</v>
      </c>
      <c r="E49" s="5">
        <v>6.32</v>
      </c>
      <c r="F49" s="5">
        <v>5.0999999999999996</v>
      </c>
      <c r="G49" s="5">
        <v>5.0999999999999996</v>
      </c>
      <c r="H49" s="5">
        <v>5.0999999999999996</v>
      </c>
      <c r="I49" s="5">
        <v>5.0999999999999996</v>
      </c>
      <c r="J49" s="5">
        <v>5.0999999999999996</v>
      </c>
      <c r="K49" s="5">
        <v>5.0999999999999996</v>
      </c>
      <c r="L49" s="5">
        <v>5.0999999999999996</v>
      </c>
      <c r="M49" s="5">
        <v>5.0999999999999996</v>
      </c>
      <c r="N49" s="5">
        <v>5.0999999999999996</v>
      </c>
      <c r="O49" s="5">
        <v>5.0999999999999996</v>
      </c>
    </row>
    <row r="50" spans="1:15" s="1" customFormat="1" ht="15.75" x14ac:dyDescent="0.2">
      <c r="A50" s="65" t="s">
        <v>90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7"/>
    </row>
    <row r="51" spans="1:15" s="1" customFormat="1" ht="32.25" customHeight="1" x14ac:dyDescent="0.2">
      <c r="A51" s="26">
        <v>32</v>
      </c>
      <c r="B51" s="6" t="s">
        <v>91</v>
      </c>
      <c r="C51" s="5" t="s">
        <v>92</v>
      </c>
      <c r="D51" s="5">
        <v>234.28</v>
      </c>
      <c r="E51" s="5">
        <v>254.11</v>
      </c>
      <c r="F51" s="10">
        <v>768.1</v>
      </c>
      <c r="G51" s="10">
        <f>F51*106%</f>
        <v>814.18600000000004</v>
      </c>
      <c r="H51" s="10">
        <f>F51*106.1%</f>
        <v>814.95409999999993</v>
      </c>
      <c r="I51" s="10">
        <v>814.95</v>
      </c>
      <c r="J51" s="10">
        <v>855.71</v>
      </c>
      <c r="K51" s="10">
        <v>858.15</v>
      </c>
      <c r="L51" s="10">
        <v>858.15</v>
      </c>
      <c r="M51" s="10">
        <v>897.64</v>
      </c>
      <c r="N51" s="10">
        <v>896.76</v>
      </c>
      <c r="O51" s="10">
        <v>896.76</v>
      </c>
    </row>
    <row r="52" spans="1:15" s="1" customFormat="1" ht="44.25" customHeight="1" x14ac:dyDescent="0.2">
      <c r="A52" s="26">
        <v>33</v>
      </c>
      <c r="B52" s="6" t="s">
        <v>93</v>
      </c>
      <c r="C52" s="5" t="s">
        <v>88</v>
      </c>
      <c r="D52" s="5">
        <v>84.76</v>
      </c>
      <c r="E52" s="10">
        <f>E51/D51/106.4*10000</f>
        <v>101.94006657415265</v>
      </c>
      <c r="F52" s="10">
        <f>F51/E51/107.4*10000</f>
        <v>281.4438269852929</v>
      </c>
      <c r="G52" s="10">
        <f>G51/F51/106*10000</f>
        <v>100</v>
      </c>
      <c r="H52" s="10">
        <f>H51/F51/106.1*10000</f>
        <v>100</v>
      </c>
      <c r="I52" s="10">
        <v>100</v>
      </c>
      <c r="J52" s="10">
        <v>100</v>
      </c>
      <c r="K52" s="10">
        <f>K51/I51/105.3*10000</f>
        <v>100.00089146049021</v>
      </c>
      <c r="L52" s="10">
        <v>100</v>
      </c>
      <c r="M52" s="10">
        <v>100</v>
      </c>
      <c r="N52" s="10">
        <f>N51/L51/104.5*10000</f>
        <v>99.999247295910564</v>
      </c>
      <c r="O52" s="10">
        <v>100</v>
      </c>
    </row>
    <row r="53" spans="1:15" s="1" customFormat="1" ht="33" customHeight="1" x14ac:dyDescent="0.2">
      <c r="A53" s="26">
        <v>34</v>
      </c>
      <c r="B53" s="6" t="s">
        <v>17</v>
      </c>
      <c r="C53" s="5" t="s">
        <v>94</v>
      </c>
      <c r="D53" s="5">
        <v>46.23</v>
      </c>
      <c r="E53" s="5">
        <v>65.91</v>
      </c>
      <c r="F53" s="5">
        <v>58.5</v>
      </c>
      <c r="G53" s="5">
        <v>217.82</v>
      </c>
      <c r="H53" s="5">
        <v>218</v>
      </c>
      <c r="I53" s="5">
        <v>218</v>
      </c>
      <c r="J53" s="5">
        <v>52</v>
      </c>
      <c r="K53" s="5">
        <v>52</v>
      </c>
      <c r="L53" s="5">
        <v>52</v>
      </c>
      <c r="M53" s="5">
        <v>89</v>
      </c>
      <c r="N53" s="5">
        <v>90</v>
      </c>
      <c r="O53" s="5">
        <v>90</v>
      </c>
    </row>
    <row r="54" spans="1:15" s="1" customFormat="1" ht="18.75" customHeight="1" x14ac:dyDescent="0.2">
      <c r="A54" s="65" t="s">
        <v>95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</row>
    <row r="55" spans="1:15" s="1" customFormat="1" ht="15.75" x14ac:dyDescent="0.2">
      <c r="A55" s="26">
        <v>35</v>
      </c>
      <c r="B55" s="6" t="s">
        <v>19</v>
      </c>
      <c r="C55" s="5" t="s">
        <v>96</v>
      </c>
      <c r="D55" s="40">
        <v>15502.75</v>
      </c>
      <c r="E55" s="40">
        <v>22679.919999999998</v>
      </c>
      <c r="F55" s="40">
        <v>24494.31</v>
      </c>
      <c r="G55" s="40">
        <v>25792.51</v>
      </c>
      <c r="H55" s="40">
        <v>25841.5</v>
      </c>
      <c r="I55" s="5">
        <v>25841.5</v>
      </c>
      <c r="J55" s="40">
        <v>26875.8</v>
      </c>
      <c r="K55" s="40">
        <v>27004.37</v>
      </c>
      <c r="L55" s="5">
        <v>27004.37</v>
      </c>
      <c r="M55" s="40">
        <v>28327.09</v>
      </c>
      <c r="N55" s="40">
        <v>28111.55</v>
      </c>
      <c r="O55" s="5">
        <v>28111.55</v>
      </c>
    </row>
    <row r="56" spans="1:15" s="1" customFormat="1" ht="43.5" customHeight="1" x14ac:dyDescent="0.2">
      <c r="A56" s="26">
        <v>36</v>
      </c>
      <c r="B56" s="6" t="s">
        <v>97</v>
      </c>
      <c r="C56" s="5" t="s">
        <v>88</v>
      </c>
      <c r="D56" s="40">
        <v>100</v>
      </c>
      <c r="E56" s="40">
        <v>147</v>
      </c>
      <c r="F56" s="40">
        <v>108</v>
      </c>
      <c r="G56" s="40">
        <v>105.3</v>
      </c>
      <c r="H56" s="40">
        <v>105.5</v>
      </c>
      <c r="I56" s="5">
        <v>105.5</v>
      </c>
      <c r="J56" s="40">
        <v>104.2</v>
      </c>
      <c r="K56" s="40">
        <v>104.5</v>
      </c>
      <c r="L56" s="5">
        <v>104.5</v>
      </c>
      <c r="M56" s="40">
        <v>105.4</v>
      </c>
      <c r="N56" s="40">
        <v>104.1</v>
      </c>
      <c r="O56" s="5">
        <v>104.1</v>
      </c>
    </row>
    <row r="57" spans="1:15" s="1" customFormat="1" ht="15.75" x14ac:dyDescent="0.2">
      <c r="A57" s="26">
        <v>37</v>
      </c>
      <c r="B57" s="6" t="s">
        <v>20</v>
      </c>
      <c r="C57" s="5" t="s">
        <v>96</v>
      </c>
      <c r="D57" s="40">
        <v>3935.8</v>
      </c>
      <c r="E57" s="40">
        <v>4520.07</v>
      </c>
      <c r="F57" s="45">
        <f>SUM(E57*F58/100)</f>
        <v>4895.2358099999992</v>
      </c>
      <c r="G57" s="45">
        <f>SUM(F57*G58/100)</f>
        <v>5262.3784957499993</v>
      </c>
      <c r="H57" s="45">
        <f>SUM(F57*H58/100)</f>
        <v>5281.9594389899994</v>
      </c>
      <c r="I57" s="5">
        <v>5281.96</v>
      </c>
      <c r="J57" s="45">
        <v>5472.87</v>
      </c>
      <c r="K57" s="45">
        <f>SUM(I57*K58/100)</f>
        <v>5519.6481999999996</v>
      </c>
      <c r="L57" s="5">
        <v>5519.65</v>
      </c>
      <c r="M57" s="45">
        <v>5746.52</v>
      </c>
      <c r="N57" s="45">
        <v>5751.47</v>
      </c>
      <c r="O57" s="5">
        <v>5751.47</v>
      </c>
    </row>
    <row r="58" spans="1:15" s="1" customFormat="1" ht="48" customHeight="1" x14ac:dyDescent="0.2">
      <c r="A58" s="26">
        <v>38</v>
      </c>
      <c r="B58" s="6" t="s">
        <v>98</v>
      </c>
      <c r="C58" s="5" t="s">
        <v>88</v>
      </c>
      <c r="D58" s="40">
        <v>123.81</v>
      </c>
      <c r="E58" s="45">
        <v>115</v>
      </c>
      <c r="F58" s="40">
        <v>108.3</v>
      </c>
      <c r="G58" s="40">
        <v>107.5</v>
      </c>
      <c r="H58" s="40">
        <v>107.9</v>
      </c>
      <c r="I58" s="5">
        <v>107.9</v>
      </c>
      <c r="J58" s="40">
        <v>104</v>
      </c>
      <c r="K58" s="40">
        <v>104.5</v>
      </c>
      <c r="L58" s="5">
        <v>104.5</v>
      </c>
      <c r="M58" s="40">
        <v>105</v>
      </c>
      <c r="N58" s="40">
        <v>104.2</v>
      </c>
      <c r="O58" s="5">
        <v>104.2</v>
      </c>
    </row>
    <row r="59" spans="1:15" s="1" customFormat="1" ht="18.75" customHeight="1" x14ac:dyDescent="0.2">
      <c r="A59" s="65" t="s">
        <v>155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7"/>
    </row>
    <row r="60" spans="1:15" s="1" customFormat="1" ht="36" customHeight="1" x14ac:dyDescent="0.2">
      <c r="A60" s="26">
        <v>39</v>
      </c>
      <c r="B60" s="6" t="s">
        <v>69</v>
      </c>
      <c r="C60" s="5" t="s">
        <v>21</v>
      </c>
      <c r="D60" s="40">
        <v>896</v>
      </c>
      <c r="E60" s="40">
        <v>873</v>
      </c>
      <c r="F60" s="40">
        <v>875</v>
      </c>
      <c r="G60" s="40">
        <v>875</v>
      </c>
      <c r="H60" s="40">
        <v>876</v>
      </c>
      <c r="I60" s="40">
        <v>876</v>
      </c>
      <c r="J60" s="40">
        <v>876</v>
      </c>
      <c r="K60" s="40">
        <v>878</v>
      </c>
      <c r="L60" s="40">
        <v>878</v>
      </c>
      <c r="M60" s="40">
        <v>877</v>
      </c>
      <c r="N60" s="40">
        <v>879</v>
      </c>
      <c r="O60" s="40">
        <v>879</v>
      </c>
    </row>
    <row r="61" spans="1:15" s="1" customFormat="1" ht="52.5" customHeight="1" x14ac:dyDescent="0.2">
      <c r="A61" s="26">
        <v>40</v>
      </c>
      <c r="B61" s="6" t="s">
        <v>99</v>
      </c>
      <c r="C61" s="5" t="s">
        <v>22</v>
      </c>
      <c r="D61" s="40">
        <v>6.69</v>
      </c>
      <c r="E61" s="40">
        <v>6.94</v>
      </c>
      <c r="F61" s="40">
        <v>6.95</v>
      </c>
      <c r="G61" s="40">
        <v>6.95</v>
      </c>
      <c r="H61" s="40">
        <v>6.96</v>
      </c>
      <c r="I61" s="40">
        <v>6.96</v>
      </c>
      <c r="J61" s="40">
        <v>6.96</v>
      </c>
      <c r="K61" s="40">
        <v>6.97</v>
      </c>
      <c r="L61" s="40">
        <v>6.97</v>
      </c>
      <c r="M61" s="40">
        <v>6.98</v>
      </c>
      <c r="N61" s="40">
        <v>7</v>
      </c>
      <c r="O61" s="40">
        <v>7</v>
      </c>
    </row>
    <row r="62" spans="1:15" s="1" customFormat="1" ht="35.25" customHeight="1" x14ac:dyDescent="0.2">
      <c r="A62" s="26">
        <v>41</v>
      </c>
      <c r="B62" s="6" t="s">
        <v>50</v>
      </c>
      <c r="C62" s="5" t="s">
        <v>100</v>
      </c>
      <c r="D62" s="40">
        <v>7.1</v>
      </c>
      <c r="E62" s="40">
        <v>7.3</v>
      </c>
      <c r="F62" s="40">
        <v>7.4</v>
      </c>
      <c r="G62" s="40">
        <v>7.6</v>
      </c>
      <c r="H62" s="40">
        <v>7.7</v>
      </c>
      <c r="I62" s="40">
        <v>7.7</v>
      </c>
      <c r="J62" s="40">
        <v>7.9</v>
      </c>
      <c r="K62" s="40">
        <v>8</v>
      </c>
      <c r="L62" s="40">
        <v>8</v>
      </c>
      <c r="M62" s="40">
        <v>8.1999999999999993</v>
      </c>
      <c r="N62" s="40">
        <v>8.3000000000000007</v>
      </c>
      <c r="O62" s="40">
        <v>8.3000000000000007</v>
      </c>
    </row>
    <row r="63" spans="1:15" s="1" customFormat="1" ht="15.75" x14ac:dyDescent="0.2">
      <c r="A63" s="65" t="s">
        <v>101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7"/>
    </row>
    <row r="64" spans="1:15" s="1" customFormat="1" ht="48" customHeight="1" x14ac:dyDescent="0.2">
      <c r="A64" s="26">
        <v>42</v>
      </c>
      <c r="B64" s="12" t="s">
        <v>23</v>
      </c>
      <c r="C64" s="13" t="s">
        <v>137</v>
      </c>
      <c r="D64" s="44">
        <v>13578.25</v>
      </c>
      <c r="E64" s="40">
        <v>18372.27</v>
      </c>
      <c r="F64" s="50">
        <v>19959.400000000001</v>
      </c>
      <c r="G64" s="50">
        <f>F64*109.8%</f>
        <v>21915.421200000001</v>
      </c>
      <c r="H64" s="51">
        <f>F64*109.9%</f>
        <v>21935.3806</v>
      </c>
      <c r="I64" s="51">
        <v>21935.38</v>
      </c>
      <c r="J64" s="50">
        <v>23997.39</v>
      </c>
      <c r="K64" s="51">
        <f>I64*109.7%</f>
        <v>24063.111860000001</v>
      </c>
      <c r="L64" s="51">
        <v>24063.11</v>
      </c>
      <c r="M64" s="50">
        <v>25029.27</v>
      </c>
      <c r="N64" s="51">
        <f>L64*104.4%</f>
        <v>25121.886840000003</v>
      </c>
      <c r="O64" s="51">
        <v>25121.89</v>
      </c>
    </row>
    <row r="65" spans="1:15" s="1" customFormat="1" ht="40.5" customHeight="1" x14ac:dyDescent="0.2">
      <c r="A65" s="26">
        <v>43</v>
      </c>
      <c r="B65" s="12" t="s">
        <v>24</v>
      </c>
      <c r="C65" s="13" t="s">
        <v>138</v>
      </c>
      <c r="D65" s="44">
        <v>122.3</v>
      </c>
      <c r="E65" s="45">
        <f>E64/D64/107.8*10000</f>
        <v>125.51633736248839</v>
      </c>
      <c r="F65" s="50">
        <f>F64/E64/107.4*10000</f>
        <v>101.15337583303614</v>
      </c>
      <c r="G65" s="50">
        <f>G64/F64/107.4*10000</f>
        <v>102.23463687150837</v>
      </c>
      <c r="H65" s="50">
        <f>H64/G64/107.4*10000</f>
        <v>93.194669163164434</v>
      </c>
      <c r="I65" s="50">
        <v>93.19</v>
      </c>
      <c r="J65" s="50">
        <f>J64/I64/105*10000</f>
        <v>104.19084211377758</v>
      </c>
      <c r="K65" s="50">
        <f>K64/J64/105.3*10000</f>
        <v>95.226847926676257</v>
      </c>
      <c r="L65" s="50">
        <v>95.23</v>
      </c>
      <c r="M65" s="50">
        <f>M64/L64/104.3*10000</f>
        <v>99.726853886864873</v>
      </c>
      <c r="N65" s="50">
        <f>N64/M64/104.4*10000</f>
        <v>96.139879429164338</v>
      </c>
      <c r="O65" s="50">
        <v>96.14</v>
      </c>
    </row>
    <row r="66" spans="1:15" s="1" customFormat="1" ht="80.25" customHeight="1" x14ac:dyDescent="0.2">
      <c r="A66" s="26">
        <v>44</v>
      </c>
      <c r="B66" s="15" t="s">
        <v>139</v>
      </c>
      <c r="C66" s="13" t="s">
        <v>49</v>
      </c>
      <c r="D66" s="44">
        <v>4096.46</v>
      </c>
      <c r="E66" s="40">
        <v>5867.4</v>
      </c>
      <c r="F66" s="50">
        <v>13505.3</v>
      </c>
      <c r="G66" s="50">
        <f>G69+G70</f>
        <v>14504.6922</v>
      </c>
      <c r="H66" s="50">
        <f t="shared" ref="H66" si="1">H69+H70</f>
        <v>14086.027899999997</v>
      </c>
      <c r="I66" s="52">
        <v>14086.03</v>
      </c>
      <c r="J66" s="50">
        <v>15229.93</v>
      </c>
      <c r="K66" s="50">
        <v>14832.59</v>
      </c>
      <c r="L66" s="52">
        <v>14832.59</v>
      </c>
      <c r="M66" s="50">
        <v>15884.81</v>
      </c>
      <c r="N66" s="50">
        <v>15485.22</v>
      </c>
      <c r="O66" s="50">
        <v>15485.22</v>
      </c>
    </row>
    <row r="67" spans="1:15" s="1" customFormat="1" ht="38.25" customHeight="1" x14ac:dyDescent="0.2">
      <c r="A67" s="26">
        <v>45</v>
      </c>
      <c r="B67" s="15" t="s">
        <v>140</v>
      </c>
      <c r="C67" s="13" t="s">
        <v>138</v>
      </c>
      <c r="D67" s="44">
        <v>114.6</v>
      </c>
      <c r="E67" s="40">
        <v>131.28</v>
      </c>
      <c r="F67" s="50">
        <f>F66/E66/107.4*10000</f>
        <v>214.31583367975398</v>
      </c>
      <c r="G67" s="50">
        <f>G66/F66/107.4*10000</f>
        <v>100</v>
      </c>
      <c r="H67" s="50">
        <f>H66/G66/107.4*10000</f>
        <v>90.422340820268474</v>
      </c>
      <c r="I67" s="50">
        <v>90.42</v>
      </c>
      <c r="J67" s="50">
        <f>J66/I66/105*10000</f>
        <v>102.97220180629488</v>
      </c>
      <c r="K67" s="50">
        <f>K66/J66/105.3*10000</f>
        <v>92.489134154679121</v>
      </c>
      <c r="L67" s="50">
        <v>92.49</v>
      </c>
      <c r="M67" s="50">
        <f>M66/L66/104.3*10000</f>
        <v>102.67878568866485</v>
      </c>
      <c r="N67" s="50">
        <f>N66/M66/104.4*10000</f>
        <v>93.375911999555257</v>
      </c>
      <c r="O67" s="50">
        <v>93.38</v>
      </c>
    </row>
    <row r="68" spans="1:15" s="1" customFormat="1" ht="18.75" customHeight="1" x14ac:dyDescent="0.2">
      <c r="A68" s="65" t="s">
        <v>150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7"/>
    </row>
    <row r="69" spans="1:15" s="1" customFormat="1" ht="36" customHeight="1" x14ac:dyDescent="0.2">
      <c r="A69" s="26">
        <v>46</v>
      </c>
      <c r="B69" s="16" t="s">
        <v>25</v>
      </c>
      <c r="C69" s="17" t="s">
        <v>141</v>
      </c>
      <c r="D69" s="44">
        <v>3419.46</v>
      </c>
      <c r="E69" s="40">
        <v>4149.13</v>
      </c>
      <c r="F69" s="46">
        <f>F66*37.6%</f>
        <v>5077.9928</v>
      </c>
      <c r="G69" s="47">
        <f>F69*107.4%</f>
        <v>5453.7642672000002</v>
      </c>
      <c r="H69" s="48">
        <f>F69*104.3%</f>
        <v>5296.3464903999993</v>
      </c>
      <c r="I69" s="48">
        <v>5296.35</v>
      </c>
      <c r="J69" s="46">
        <v>5726.45</v>
      </c>
      <c r="K69" s="48">
        <v>5577.05</v>
      </c>
      <c r="L69" s="48">
        <v>5577.05</v>
      </c>
      <c r="M69" s="46">
        <v>5972.69</v>
      </c>
      <c r="N69" s="48">
        <f>L69*104.4%</f>
        <v>5822.4402</v>
      </c>
      <c r="O69" s="48">
        <v>5822.44</v>
      </c>
    </row>
    <row r="70" spans="1:15" s="1" customFormat="1" ht="25.5" customHeight="1" x14ac:dyDescent="0.2">
      <c r="A70" s="26">
        <v>47</v>
      </c>
      <c r="B70" s="16" t="s">
        <v>70</v>
      </c>
      <c r="C70" s="17" t="s">
        <v>141</v>
      </c>
      <c r="D70" s="44">
        <v>677</v>
      </c>
      <c r="E70" s="40">
        <v>1718.24</v>
      </c>
      <c r="F70" s="46">
        <f>F66*62.4%</f>
        <v>8427.3071999999993</v>
      </c>
      <c r="G70" s="46">
        <f>F70*107.4%</f>
        <v>9050.9279327999993</v>
      </c>
      <c r="H70" s="48">
        <f>F70*104.3%</f>
        <v>8789.681409599998</v>
      </c>
      <c r="I70" s="48">
        <v>8789.68</v>
      </c>
      <c r="J70" s="46">
        <v>9503.4699999999993</v>
      </c>
      <c r="K70" s="48">
        <f>I70*105.3%</f>
        <v>9255.5330400000003</v>
      </c>
      <c r="L70" s="48">
        <v>9255.5300000000007</v>
      </c>
      <c r="M70" s="46">
        <v>9912.1200000000008</v>
      </c>
      <c r="N70" s="48">
        <v>9662.7800000000007</v>
      </c>
      <c r="O70" s="48">
        <v>9662.7800000000007</v>
      </c>
    </row>
    <row r="71" spans="1:15" s="1" customFormat="1" ht="31.5" customHeight="1" x14ac:dyDescent="0.2">
      <c r="A71" s="26">
        <v>48</v>
      </c>
      <c r="B71" s="18" t="s">
        <v>142</v>
      </c>
      <c r="C71" s="17" t="s">
        <v>141</v>
      </c>
      <c r="D71" s="44">
        <v>41.88</v>
      </c>
      <c r="E71" s="40">
        <v>50.4</v>
      </c>
      <c r="F71" s="46">
        <v>60.66</v>
      </c>
      <c r="G71" s="46">
        <f>F71*104.3%</f>
        <v>63.268379999999993</v>
      </c>
      <c r="H71" s="49">
        <f>G71*104.3%</f>
        <v>65.988920339999993</v>
      </c>
      <c r="I71" s="49">
        <v>65.989999999999995</v>
      </c>
      <c r="J71" s="46">
        <v>66.430000000000007</v>
      </c>
      <c r="K71" s="48">
        <f>I71*105.3%</f>
        <v>69.487469999999988</v>
      </c>
      <c r="L71" s="48">
        <v>69.489999999999995</v>
      </c>
      <c r="M71" s="46">
        <v>69.290000000000006</v>
      </c>
      <c r="N71" s="48">
        <v>72.540000000000006</v>
      </c>
      <c r="O71" s="48">
        <v>72.540000000000006</v>
      </c>
    </row>
    <row r="72" spans="1:15" s="1" customFormat="1" ht="25.5" customHeight="1" x14ac:dyDescent="0.2">
      <c r="A72" s="26">
        <v>49</v>
      </c>
      <c r="B72" s="18" t="s">
        <v>143</v>
      </c>
      <c r="C72" s="17" t="s">
        <v>141</v>
      </c>
      <c r="D72" s="54">
        <v>0</v>
      </c>
      <c r="E72" s="55"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6">
        <f t="shared" ref="M72" si="2">K72*104.3%</f>
        <v>0</v>
      </c>
      <c r="N72" s="56">
        <v>0</v>
      </c>
      <c r="O72" s="56">
        <v>0</v>
      </c>
    </row>
    <row r="73" spans="1:15" s="1" customFormat="1" ht="30" customHeight="1" x14ac:dyDescent="0.2">
      <c r="A73" s="26">
        <v>50</v>
      </c>
      <c r="B73" s="18" t="s">
        <v>144</v>
      </c>
      <c r="C73" s="17" t="s">
        <v>141</v>
      </c>
      <c r="D73" s="44">
        <v>135.37</v>
      </c>
      <c r="E73" s="40">
        <v>1147.81</v>
      </c>
      <c r="F73" s="46">
        <v>6882.6</v>
      </c>
      <c r="G73" s="46">
        <f>F73*107.4%</f>
        <v>7391.9124000000011</v>
      </c>
      <c r="H73" s="49">
        <f>F73*104.3%</f>
        <v>7178.5518000000002</v>
      </c>
      <c r="I73" s="49">
        <v>7178.55</v>
      </c>
      <c r="J73" s="46">
        <v>7761.51</v>
      </c>
      <c r="K73" s="49">
        <v>7559.02</v>
      </c>
      <c r="L73" s="49">
        <v>7559.02</v>
      </c>
      <c r="M73" s="46">
        <v>8095.25</v>
      </c>
      <c r="N73" s="49">
        <v>7891.61</v>
      </c>
      <c r="O73" s="49">
        <v>7891.61</v>
      </c>
    </row>
    <row r="74" spans="1:15" s="1" customFormat="1" ht="40.5" customHeight="1" x14ac:dyDescent="0.2">
      <c r="A74" s="26">
        <v>51</v>
      </c>
      <c r="B74" s="18" t="s">
        <v>145</v>
      </c>
      <c r="C74" s="17" t="s">
        <v>141</v>
      </c>
      <c r="D74" s="44">
        <v>416.73</v>
      </c>
      <c r="E74" s="40">
        <v>455.3</v>
      </c>
      <c r="F74" s="46">
        <v>497.6</v>
      </c>
      <c r="G74" s="46">
        <f>G75+G76+G77</f>
        <v>534.42240000000004</v>
      </c>
      <c r="H74" s="46">
        <v>557.4</v>
      </c>
      <c r="I74" s="46">
        <v>557.4</v>
      </c>
      <c r="J74" s="46">
        <v>561.14</v>
      </c>
      <c r="K74" s="46">
        <v>590.88</v>
      </c>
      <c r="L74" s="46">
        <v>590.88</v>
      </c>
      <c r="M74" s="46">
        <v>585.27</v>
      </c>
      <c r="N74" s="46">
        <v>616.88</v>
      </c>
      <c r="O74" s="46">
        <v>616.88</v>
      </c>
    </row>
    <row r="75" spans="1:15" s="1" customFormat="1" ht="16.5" customHeight="1" x14ac:dyDescent="0.2">
      <c r="A75" s="26">
        <v>52</v>
      </c>
      <c r="B75" s="16" t="s">
        <v>146</v>
      </c>
      <c r="C75" s="17" t="s">
        <v>141</v>
      </c>
      <c r="D75" s="44">
        <v>165.71</v>
      </c>
      <c r="E75" s="40">
        <v>41.17</v>
      </c>
      <c r="F75" s="46">
        <f>F74*9.04%</f>
        <v>44.983040000000003</v>
      </c>
      <c r="G75" s="46">
        <f>F75*107.4%</f>
        <v>48.311784960000004</v>
      </c>
      <c r="H75" s="48">
        <f>G75*104.3%</f>
        <v>50.389191713279999</v>
      </c>
      <c r="I75" s="48">
        <v>50.39</v>
      </c>
      <c r="J75" s="46">
        <v>50.73</v>
      </c>
      <c r="K75" s="48">
        <f>J75*105.3%</f>
        <v>53.418689999999991</v>
      </c>
      <c r="L75" s="48">
        <v>53.42</v>
      </c>
      <c r="M75" s="46">
        <v>52.91</v>
      </c>
      <c r="N75" s="48">
        <v>55.77</v>
      </c>
      <c r="O75" s="48">
        <v>55.77</v>
      </c>
    </row>
    <row r="76" spans="1:15" s="1" customFormat="1" ht="23.25" customHeight="1" x14ac:dyDescent="0.2">
      <c r="A76" s="26">
        <v>53</v>
      </c>
      <c r="B76" s="16" t="s">
        <v>147</v>
      </c>
      <c r="C76" s="17" t="s">
        <v>141</v>
      </c>
      <c r="D76" s="44">
        <v>245.46</v>
      </c>
      <c r="E76" s="40">
        <v>401.47</v>
      </c>
      <c r="F76" s="46">
        <f>F74*88.18%</f>
        <v>438.78368000000006</v>
      </c>
      <c r="G76" s="46">
        <f t="shared" ref="G76:G78" si="3">F76*107.4%</f>
        <v>471.25367232000008</v>
      </c>
      <c r="H76" s="48">
        <f t="shared" ref="H76:H78" si="4">G76*104.3%</f>
        <v>491.51758022976003</v>
      </c>
      <c r="I76" s="48">
        <v>491.52</v>
      </c>
      <c r="J76" s="46">
        <v>494.82</v>
      </c>
      <c r="K76" s="48">
        <v>521.04</v>
      </c>
      <c r="L76" s="48">
        <v>521.04</v>
      </c>
      <c r="M76" s="46">
        <v>516.09</v>
      </c>
      <c r="N76" s="48">
        <v>543.97</v>
      </c>
      <c r="O76" s="48">
        <v>543.97</v>
      </c>
    </row>
    <row r="77" spans="1:15" s="1" customFormat="1" ht="19.5" customHeight="1" x14ac:dyDescent="0.2">
      <c r="A77" s="26">
        <v>54</v>
      </c>
      <c r="B77" s="16" t="s">
        <v>148</v>
      </c>
      <c r="C77" s="17" t="s">
        <v>141</v>
      </c>
      <c r="D77" s="44">
        <v>5.56</v>
      </c>
      <c r="E77" s="40">
        <v>12.68</v>
      </c>
      <c r="F77" s="46">
        <f>F74*2.78%</f>
        <v>13.83328</v>
      </c>
      <c r="G77" s="46">
        <f t="shared" si="3"/>
        <v>14.856942720000001</v>
      </c>
      <c r="H77" s="48">
        <f t="shared" si="4"/>
        <v>15.49579125696</v>
      </c>
      <c r="I77" s="48">
        <v>15.5</v>
      </c>
      <c r="J77" s="46">
        <v>15.6</v>
      </c>
      <c r="K77" s="48">
        <v>16.43</v>
      </c>
      <c r="L77" s="48">
        <v>16.43</v>
      </c>
      <c r="M77" s="46">
        <v>16.27</v>
      </c>
      <c r="N77" s="48">
        <v>17.149999999999999</v>
      </c>
      <c r="O77" s="48">
        <v>17.149999999999999</v>
      </c>
    </row>
    <row r="78" spans="1:15" s="1" customFormat="1" ht="30.75" customHeight="1" x14ac:dyDescent="0.2">
      <c r="A78" s="26">
        <v>55</v>
      </c>
      <c r="B78" s="18" t="s">
        <v>149</v>
      </c>
      <c r="C78" s="17" t="s">
        <v>141</v>
      </c>
      <c r="D78" s="44">
        <v>83.02</v>
      </c>
      <c r="E78" s="40">
        <v>64.709999999999994</v>
      </c>
      <c r="F78" s="46">
        <v>986.45</v>
      </c>
      <c r="G78" s="46">
        <f t="shared" si="3"/>
        <v>1059.4473</v>
      </c>
      <c r="H78" s="48">
        <f t="shared" si="4"/>
        <v>1105.0035338999999</v>
      </c>
      <c r="I78" s="48">
        <v>1105</v>
      </c>
      <c r="J78" s="46">
        <v>1112.42</v>
      </c>
      <c r="K78" s="48">
        <v>1171.3800000000001</v>
      </c>
      <c r="L78" s="48">
        <v>1171.3800000000001</v>
      </c>
      <c r="M78" s="46">
        <v>1160.25</v>
      </c>
      <c r="N78" s="48">
        <f t="shared" ref="N78" si="5">L78*104.4%</f>
        <v>1222.9207200000001</v>
      </c>
      <c r="O78" s="48">
        <v>1222.92</v>
      </c>
    </row>
    <row r="79" spans="1:15" s="1" customFormat="1" ht="18.75" customHeight="1" x14ac:dyDescent="0.2">
      <c r="A79" s="65" t="s">
        <v>133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7"/>
    </row>
    <row r="80" spans="1:15" s="1" customFormat="1" ht="29.25" customHeight="1" x14ac:dyDescent="0.2">
      <c r="A80" s="26">
        <v>56</v>
      </c>
      <c r="B80" s="19" t="s">
        <v>75</v>
      </c>
      <c r="C80" s="14" t="s">
        <v>86</v>
      </c>
      <c r="D80" s="5">
        <v>4800.68</v>
      </c>
      <c r="E80" s="5">
        <v>4447.42</v>
      </c>
      <c r="F80" s="10">
        <f>F81+F94</f>
        <v>4843.7999999999993</v>
      </c>
      <c r="G80" s="10">
        <f>G81+G94</f>
        <v>4062</v>
      </c>
      <c r="H80" s="5">
        <f t="shared" ref="H80:I80" si="6">H81+H94</f>
        <v>4093.0099999999998</v>
      </c>
      <c r="I80" s="5">
        <f t="shared" si="6"/>
        <v>4093.0099999999998</v>
      </c>
      <c r="J80" s="5">
        <f t="shared" ref="J80:K80" si="7">J81+J94</f>
        <v>4185.79</v>
      </c>
      <c r="K80" s="10">
        <f t="shared" si="7"/>
        <v>4223.1900000000005</v>
      </c>
      <c r="L80" s="10">
        <f t="shared" ref="L80" si="8">L81+L94</f>
        <v>4223.1900000000005</v>
      </c>
      <c r="M80" s="10">
        <f t="shared" ref="M80:N80" si="9">M81+M94</f>
        <v>4112.2000000000007</v>
      </c>
      <c r="N80" s="5">
        <f t="shared" si="9"/>
        <v>4158.0600000000004</v>
      </c>
      <c r="O80" s="5">
        <f t="shared" ref="O80" si="10">O81+O94</f>
        <v>4158.0600000000004</v>
      </c>
    </row>
    <row r="81" spans="1:15" s="1" customFormat="1" ht="29.25" customHeight="1" x14ac:dyDescent="0.2">
      <c r="A81" s="26">
        <v>57</v>
      </c>
      <c r="B81" s="19" t="s">
        <v>71</v>
      </c>
      <c r="C81" s="14" t="s">
        <v>86</v>
      </c>
      <c r="D81" s="5">
        <v>1132.7</v>
      </c>
      <c r="E81" s="5">
        <v>1184.1099999999999</v>
      </c>
      <c r="F81" s="5">
        <f>F82+F93</f>
        <v>2184.9699999999998</v>
      </c>
      <c r="G81" s="5">
        <f>G82+G93</f>
        <v>2091.48</v>
      </c>
      <c r="H81" s="5">
        <f t="shared" ref="H81:I81" si="11">H82+H93</f>
        <v>2122.4899999999998</v>
      </c>
      <c r="I81" s="5">
        <f t="shared" si="11"/>
        <v>2122.4899999999998</v>
      </c>
      <c r="J81" s="5">
        <f t="shared" ref="J81:K81" si="12">J82+J93</f>
        <v>2140.81</v>
      </c>
      <c r="K81" s="10">
        <f t="shared" si="12"/>
        <v>2178.21</v>
      </c>
      <c r="L81" s="10">
        <f t="shared" ref="L81" si="13">L82+L93</f>
        <v>2178.21</v>
      </c>
      <c r="M81" s="10">
        <f t="shared" ref="M81:N81" si="14">M82+M93</f>
        <v>2239.5100000000002</v>
      </c>
      <c r="N81" s="5">
        <f t="shared" si="14"/>
        <v>2285.3700000000003</v>
      </c>
      <c r="O81" s="5">
        <f t="shared" ref="O81" si="15">O82+O93</f>
        <v>2285.3700000000003</v>
      </c>
    </row>
    <row r="82" spans="1:15" s="1" customFormat="1" ht="51" customHeight="1" x14ac:dyDescent="0.2">
      <c r="A82" s="26">
        <v>58</v>
      </c>
      <c r="B82" s="19" t="s">
        <v>156</v>
      </c>
      <c r="C82" s="14" t="s">
        <v>86</v>
      </c>
      <c r="D82" s="5">
        <v>927.34</v>
      </c>
      <c r="E82" s="5">
        <v>1001.75</v>
      </c>
      <c r="F82" s="5">
        <v>1997.82</v>
      </c>
      <c r="G82" s="5">
        <v>1912.84</v>
      </c>
      <c r="H82" s="5">
        <v>1943.32</v>
      </c>
      <c r="I82" s="5">
        <v>1943.32</v>
      </c>
      <c r="J82" s="5">
        <v>1962.71</v>
      </c>
      <c r="K82" s="5">
        <v>1999.39</v>
      </c>
      <c r="L82" s="5">
        <v>1999.39</v>
      </c>
      <c r="M82" s="10">
        <v>2061.4</v>
      </c>
      <c r="N82" s="10">
        <v>2105.3000000000002</v>
      </c>
      <c r="O82" s="10">
        <v>2105.3000000000002</v>
      </c>
    </row>
    <row r="83" spans="1:15" s="1" customFormat="1" ht="31.5" customHeight="1" x14ac:dyDescent="0.2">
      <c r="A83" s="26">
        <v>59</v>
      </c>
      <c r="B83" s="20" t="s">
        <v>102</v>
      </c>
      <c r="C83" s="14" t="s">
        <v>86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" customFormat="1" ht="26.25" customHeight="1" x14ac:dyDescent="0.2">
      <c r="A84" s="26">
        <v>60</v>
      </c>
      <c r="B84" s="20" t="s">
        <v>103</v>
      </c>
      <c r="C84" s="14" t="s">
        <v>86</v>
      </c>
      <c r="D84" s="5">
        <v>517.85</v>
      </c>
      <c r="E84" s="5">
        <v>617.75</v>
      </c>
      <c r="F84" s="5">
        <v>1473.34</v>
      </c>
      <c r="G84" s="5">
        <v>1340.47</v>
      </c>
      <c r="H84" s="5">
        <v>1369.96</v>
      </c>
      <c r="I84" s="5">
        <v>1369.96</v>
      </c>
      <c r="J84" s="5">
        <v>1355.65</v>
      </c>
      <c r="K84" s="5">
        <v>1390.92</v>
      </c>
      <c r="L84" s="5">
        <v>1390.92</v>
      </c>
      <c r="M84" s="5">
        <v>1420.01</v>
      </c>
      <c r="N84" s="5">
        <v>1459.77</v>
      </c>
      <c r="O84" s="5">
        <v>1459.77</v>
      </c>
    </row>
    <row r="85" spans="1:15" s="1" customFormat="1" ht="23.25" customHeight="1" x14ac:dyDescent="0.25">
      <c r="A85" s="26">
        <v>61</v>
      </c>
      <c r="B85" s="20" t="s">
        <v>104</v>
      </c>
      <c r="C85" s="14" t="s">
        <v>86</v>
      </c>
      <c r="D85" s="5">
        <v>0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v>0</v>
      </c>
      <c r="K85" s="57">
        <v>0</v>
      </c>
      <c r="L85" s="57">
        <v>0</v>
      </c>
      <c r="M85" s="57">
        <v>0</v>
      </c>
      <c r="N85" s="57">
        <v>0</v>
      </c>
      <c r="O85" s="57">
        <v>0</v>
      </c>
    </row>
    <row r="86" spans="1:15" s="1" customFormat="1" ht="21" customHeight="1" x14ac:dyDescent="0.25">
      <c r="A86" s="26">
        <v>62</v>
      </c>
      <c r="B86" s="20" t="s">
        <v>105</v>
      </c>
      <c r="C86" s="14" t="s">
        <v>86</v>
      </c>
      <c r="D86" s="5">
        <v>48.99</v>
      </c>
      <c r="E86" s="57">
        <v>46.62</v>
      </c>
      <c r="F86" s="57">
        <v>44.44</v>
      </c>
      <c r="G86" s="57">
        <v>46.67</v>
      </c>
      <c r="H86" s="57">
        <v>46.81</v>
      </c>
      <c r="I86" s="57">
        <v>46.81</v>
      </c>
      <c r="J86" s="57">
        <v>48.18</v>
      </c>
      <c r="K86" s="57">
        <v>48.38</v>
      </c>
      <c r="L86" s="57">
        <v>48.38</v>
      </c>
      <c r="M86" s="57">
        <v>50.39</v>
      </c>
      <c r="N86" s="57">
        <v>50.94</v>
      </c>
      <c r="O86" s="57">
        <v>50.94</v>
      </c>
    </row>
    <row r="87" spans="1:15" s="1" customFormat="1" ht="33" customHeight="1" x14ac:dyDescent="0.25">
      <c r="A87" s="26">
        <v>63</v>
      </c>
      <c r="B87" s="20" t="s">
        <v>106</v>
      </c>
      <c r="C87" s="14" t="s">
        <v>86</v>
      </c>
      <c r="D87" s="57">
        <v>69.459999999999994</v>
      </c>
      <c r="E87" s="57">
        <v>78.88</v>
      </c>
      <c r="F87" s="57">
        <v>199.03</v>
      </c>
      <c r="G87" s="57">
        <v>230.9</v>
      </c>
      <c r="H87" s="57">
        <v>231.59</v>
      </c>
      <c r="I87" s="57">
        <v>231.59</v>
      </c>
      <c r="J87" s="57">
        <v>248.29</v>
      </c>
      <c r="K87" s="57">
        <v>249.28</v>
      </c>
      <c r="L87" s="57">
        <v>249.28</v>
      </c>
      <c r="M87" s="58">
        <v>266.5</v>
      </c>
      <c r="N87" s="57">
        <v>269.43</v>
      </c>
      <c r="O87" s="57">
        <v>269.43</v>
      </c>
    </row>
    <row r="88" spans="1:15" s="1" customFormat="1" ht="24" customHeight="1" x14ac:dyDescent="0.25">
      <c r="A88" s="26">
        <v>64</v>
      </c>
      <c r="B88" s="20" t="s">
        <v>107</v>
      </c>
      <c r="C88" s="14" t="s">
        <v>86</v>
      </c>
      <c r="D88" s="57">
        <v>89.62</v>
      </c>
      <c r="E88" s="57">
        <v>87.55</v>
      </c>
      <c r="F88" s="57">
        <v>86.76</v>
      </c>
      <c r="G88" s="57">
        <v>88.79</v>
      </c>
      <c r="H88" s="57">
        <v>88.79</v>
      </c>
      <c r="I88" s="57">
        <v>88.79</v>
      </c>
      <c r="J88" s="57">
        <v>88.89</v>
      </c>
      <c r="K88" s="57">
        <v>88.89</v>
      </c>
      <c r="L88" s="57">
        <v>88.89</v>
      </c>
      <c r="M88" s="57">
        <v>88.99</v>
      </c>
      <c r="N88" s="57">
        <v>88.99</v>
      </c>
      <c r="O88" s="57">
        <v>88.99</v>
      </c>
    </row>
    <row r="89" spans="1:15" s="1" customFormat="1" ht="26.25" customHeight="1" x14ac:dyDescent="0.25">
      <c r="A89" s="26">
        <v>65</v>
      </c>
      <c r="B89" s="20" t="s">
        <v>108</v>
      </c>
      <c r="C89" s="14" t="s">
        <v>86</v>
      </c>
      <c r="D89" s="57"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v>0</v>
      </c>
      <c r="K89" s="57">
        <v>0</v>
      </c>
      <c r="L89" s="57">
        <v>0</v>
      </c>
      <c r="M89" s="57">
        <v>0</v>
      </c>
      <c r="N89" s="57">
        <v>0</v>
      </c>
      <c r="O89" s="57">
        <v>0</v>
      </c>
    </row>
    <row r="90" spans="1:15" s="1" customFormat="1" ht="21.75" customHeight="1" x14ac:dyDescent="0.25">
      <c r="A90" s="26">
        <v>66</v>
      </c>
      <c r="B90" s="20" t="s">
        <v>109</v>
      </c>
      <c r="C90" s="14" t="s">
        <v>86</v>
      </c>
      <c r="D90" s="57">
        <v>0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v>0</v>
      </c>
      <c r="K90" s="57">
        <v>0</v>
      </c>
      <c r="L90" s="57">
        <v>0</v>
      </c>
      <c r="M90" s="57">
        <v>0</v>
      </c>
      <c r="N90" s="57">
        <v>0</v>
      </c>
      <c r="O90" s="57">
        <v>0</v>
      </c>
    </row>
    <row r="91" spans="1:15" s="1" customFormat="1" ht="25.5" customHeight="1" x14ac:dyDescent="0.25">
      <c r="A91" s="26">
        <v>67</v>
      </c>
      <c r="B91" s="20" t="s">
        <v>110</v>
      </c>
      <c r="C91" s="14" t="s">
        <v>86</v>
      </c>
      <c r="D91" s="57">
        <v>0</v>
      </c>
      <c r="E91" s="57">
        <v>0</v>
      </c>
      <c r="F91" s="57">
        <v>0</v>
      </c>
      <c r="G91" s="57">
        <v>0</v>
      </c>
      <c r="H91" s="57">
        <v>0</v>
      </c>
      <c r="I91" s="57">
        <v>0</v>
      </c>
      <c r="J91" s="57">
        <v>0</v>
      </c>
      <c r="K91" s="57">
        <v>0</v>
      </c>
      <c r="L91" s="57">
        <v>0</v>
      </c>
      <c r="M91" s="57">
        <v>0</v>
      </c>
      <c r="N91" s="57">
        <v>0</v>
      </c>
      <c r="O91" s="57">
        <v>0</v>
      </c>
    </row>
    <row r="92" spans="1:15" s="1" customFormat="1" ht="24" customHeight="1" x14ac:dyDescent="0.25">
      <c r="A92" s="26">
        <v>68</v>
      </c>
      <c r="B92" s="20" t="s">
        <v>111</v>
      </c>
      <c r="C92" s="14" t="s">
        <v>86</v>
      </c>
      <c r="D92" s="57">
        <v>160.69</v>
      </c>
      <c r="E92" s="57">
        <v>140.30000000000001</v>
      </c>
      <c r="F92" s="57">
        <v>139.75</v>
      </c>
      <c r="G92" s="57">
        <v>141.91</v>
      </c>
      <c r="H92" s="57">
        <v>141.91</v>
      </c>
      <c r="I92" s="57">
        <v>141.91</v>
      </c>
      <c r="J92" s="57">
        <v>152.04</v>
      </c>
      <c r="K92" s="57">
        <v>152.04</v>
      </c>
      <c r="L92" s="57">
        <v>152.04</v>
      </c>
      <c r="M92" s="57">
        <v>160.84</v>
      </c>
      <c r="N92" s="57">
        <v>160.84</v>
      </c>
      <c r="O92" s="57">
        <v>160.84</v>
      </c>
    </row>
    <row r="93" spans="1:15" s="1" customFormat="1" ht="24" customHeight="1" x14ac:dyDescent="0.25">
      <c r="A93" s="26">
        <v>69</v>
      </c>
      <c r="B93" s="19" t="s">
        <v>72</v>
      </c>
      <c r="C93" s="14" t="s">
        <v>86</v>
      </c>
      <c r="D93" s="57">
        <v>205.36</v>
      </c>
      <c r="E93" s="57">
        <v>182.36</v>
      </c>
      <c r="F93" s="57">
        <v>187.15</v>
      </c>
      <c r="G93" s="57">
        <v>178.64</v>
      </c>
      <c r="H93" s="57">
        <v>179.17</v>
      </c>
      <c r="I93" s="57">
        <v>179.17</v>
      </c>
      <c r="J93" s="57">
        <v>178.1</v>
      </c>
      <c r="K93" s="57">
        <v>178.82</v>
      </c>
      <c r="L93" s="57">
        <v>178.82</v>
      </c>
      <c r="M93" s="57">
        <v>178.11</v>
      </c>
      <c r="N93" s="58">
        <v>180.07</v>
      </c>
      <c r="O93" s="58">
        <v>180.07</v>
      </c>
    </row>
    <row r="94" spans="1:15" s="1" customFormat="1" ht="27" customHeight="1" x14ac:dyDescent="0.25">
      <c r="A94" s="26">
        <v>70</v>
      </c>
      <c r="B94" s="19" t="s">
        <v>73</v>
      </c>
      <c r="C94" s="14" t="s">
        <v>86</v>
      </c>
      <c r="D94" s="57">
        <v>3667.98</v>
      </c>
      <c r="E94" s="57">
        <v>3263.31</v>
      </c>
      <c r="F94" s="57">
        <v>2658.83</v>
      </c>
      <c r="G94" s="57">
        <v>1970.52</v>
      </c>
      <c r="H94" s="57">
        <v>1970.52</v>
      </c>
      <c r="I94" s="57">
        <v>1970.52</v>
      </c>
      <c r="J94" s="57">
        <v>2044.98</v>
      </c>
      <c r="K94" s="57">
        <v>2044.98</v>
      </c>
      <c r="L94" s="57">
        <v>2044.98</v>
      </c>
      <c r="M94" s="57">
        <v>1872.69</v>
      </c>
      <c r="N94" s="57">
        <v>1872.69</v>
      </c>
      <c r="O94" s="57">
        <v>1872.69</v>
      </c>
    </row>
    <row r="95" spans="1:15" s="1" customFormat="1" ht="22.5" customHeight="1" x14ac:dyDescent="0.25">
      <c r="A95" s="26">
        <v>71</v>
      </c>
      <c r="B95" s="19" t="s">
        <v>157</v>
      </c>
      <c r="C95" s="14" t="s">
        <v>86</v>
      </c>
      <c r="D95" s="57">
        <v>0</v>
      </c>
      <c r="E95" s="57">
        <v>0</v>
      </c>
      <c r="F95" s="57">
        <v>0</v>
      </c>
      <c r="G95" s="57">
        <v>0</v>
      </c>
      <c r="H95" s="57">
        <v>0</v>
      </c>
      <c r="I95" s="57">
        <v>0</v>
      </c>
      <c r="J95" s="57">
        <v>0</v>
      </c>
      <c r="K95" s="57">
        <v>0</v>
      </c>
      <c r="L95" s="57">
        <v>0</v>
      </c>
      <c r="M95" s="57">
        <v>0</v>
      </c>
      <c r="N95" s="57">
        <v>0</v>
      </c>
      <c r="O95" s="57">
        <v>0</v>
      </c>
    </row>
    <row r="96" spans="1:15" s="1" customFormat="1" ht="22.5" customHeight="1" x14ac:dyDescent="0.25">
      <c r="A96" s="26">
        <v>72</v>
      </c>
      <c r="B96" s="19" t="s">
        <v>158</v>
      </c>
      <c r="C96" s="14" t="s">
        <v>86</v>
      </c>
      <c r="D96" s="57">
        <v>0</v>
      </c>
      <c r="E96" s="57">
        <v>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  <c r="K96" s="57">
        <v>0</v>
      </c>
      <c r="L96" s="57">
        <v>0</v>
      </c>
      <c r="M96" s="57">
        <v>0</v>
      </c>
      <c r="N96" s="57">
        <v>0</v>
      </c>
      <c r="O96" s="57">
        <v>0</v>
      </c>
    </row>
    <row r="97" spans="1:15" s="1" customFormat="1" ht="32.25" customHeight="1" x14ac:dyDescent="0.25">
      <c r="A97" s="26">
        <v>73</v>
      </c>
      <c r="B97" s="19" t="s">
        <v>159</v>
      </c>
      <c r="C97" s="14" t="s">
        <v>86</v>
      </c>
      <c r="D97" s="57">
        <v>0</v>
      </c>
      <c r="E97" s="57">
        <v>0</v>
      </c>
      <c r="F97" s="57">
        <v>0</v>
      </c>
      <c r="G97" s="57">
        <v>0</v>
      </c>
      <c r="H97" s="57">
        <v>0</v>
      </c>
      <c r="I97" s="57">
        <v>0</v>
      </c>
      <c r="J97" s="57">
        <v>0</v>
      </c>
      <c r="K97" s="57">
        <v>0</v>
      </c>
      <c r="L97" s="57">
        <v>0</v>
      </c>
      <c r="M97" s="57">
        <v>0</v>
      </c>
      <c r="N97" s="57">
        <v>0</v>
      </c>
      <c r="O97" s="57">
        <v>0</v>
      </c>
    </row>
    <row r="98" spans="1:15" s="1" customFormat="1" ht="35.25" customHeight="1" x14ac:dyDescent="0.25">
      <c r="A98" s="26">
        <v>74</v>
      </c>
      <c r="B98" s="19" t="s">
        <v>160</v>
      </c>
      <c r="C98" s="14" t="s">
        <v>86</v>
      </c>
      <c r="D98" s="57">
        <v>0</v>
      </c>
      <c r="E98" s="57">
        <v>0</v>
      </c>
      <c r="F98" s="57">
        <v>0</v>
      </c>
      <c r="G98" s="57">
        <v>0</v>
      </c>
      <c r="H98" s="57">
        <v>0</v>
      </c>
      <c r="I98" s="57">
        <v>0</v>
      </c>
      <c r="J98" s="57">
        <v>0</v>
      </c>
      <c r="K98" s="57">
        <v>0</v>
      </c>
      <c r="L98" s="57">
        <v>0</v>
      </c>
      <c r="M98" s="57">
        <v>0</v>
      </c>
      <c r="N98" s="57">
        <v>0</v>
      </c>
      <c r="O98" s="57">
        <v>0</v>
      </c>
    </row>
    <row r="99" spans="1:15" s="1" customFormat="1" ht="38.25" customHeight="1" x14ac:dyDescent="0.25">
      <c r="A99" s="26">
        <v>75</v>
      </c>
      <c r="B99" s="19" t="s">
        <v>134</v>
      </c>
      <c r="C99" s="14" t="s">
        <v>86</v>
      </c>
      <c r="D99" s="57">
        <v>4757.3100000000004</v>
      </c>
      <c r="E99" s="57">
        <f>SUM(E100:E112)</f>
        <v>4496.72</v>
      </c>
      <c r="F99" s="57">
        <f t="shared" ref="F99:H99" si="16">SUM(F100:F112)</f>
        <v>4821.43</v>
      </c>
      <c r="G99" s="57">
        <f t="shared" si="16"/>
        <v>3966.1300000000006</v>
      </c>
      <c r="H99" s="57">
        <f t="shared" si="16"/>
        <v>3997.1400000000003</v>
      </c>
      <c r="I99" s="57">
        <f t="shared" ref="I99" si="17">SUM(I100:I112)</f>
        <v>3997.1400000000003</v>
      </c>
      <c r="J99" s="57">
        <f t="shared" ref="J99:K99" si="18">SUM(J100:J112)</f>
        <v>4089.92</v>
      </c>
      <c r="K99" s="57">
        <f t="shared" si="18"/>
        <v>4127.3200000000006</v>
      </c>
      <c r="L99" s="57">
        <f t="shared" ref="L99" si="19">SUM(L100:L112)</f>
        <v>4127.3200000000006</v>
      </c>
      <c r="M99" s="57">
        <f t="shared" ref="M99:N99" si="20">SUM(M100:M112)</f>
        <v>4016.3299999999995</v>
      </c>
      <c r="N99" s="57">
        <f t="shared" si="20"/>
        <v>4062.1899999999996</v>
      </c>
      <c r="O99" s="57">
        <f t="shared" ref="O99" si="21">SUM(O100:O112)</f>
        <v>4062.1899999999996</v>
      </c>
    </row>
    <row r="100" spans="1:15" s="1" customFormat="1" ht="29.25" customHeight="1" x14ac:dyDescent="0.25">
      <c r="A100" s="26">
        <v>76</v>
      </c>
      <c r="B100" s="20" t="s">
        <v>112</v>
      </c>
      <c r="C100" s="14" t="s">
        <v>86</v>
      </c>
      <c r="D100" s="57">
        <v>317.99</v>
      </c>
      <c r="E100" s="57">
        <v>347.85</v>
      </c>
      <c r="F100" s="57">
        <v>465.61</v>
      </c>
      <c r="G100" s="57">
        <f>359.08+21+20</f>
        <v>400.08</v>
      </c>
      <c r="H100" s="57">
        <f>359.08+31+20</f>
        <v>410.08</v>
      </c>
      <c r="I100" s="57">
        <f>359.08+31+20</f>
        <v>410.08</v>
      </c>
      <c r="J100" s="57">
        <f>378.08+21+25</f>
        <v>424.08</v>
      </c>
      <c r="K100" s="57">
        <f>362.04+41+25</f>
        <v>428.04</v>
      </c>
      <c r="L100" s="57">
        <f>362.04+41+25</f>
        <v>428.04</v>
      </c>
      <c r="M100" s="57">
        <f>353.08+45</f>
        <v>398.08</v>
      </c>
      <c r="N100" s="57">
        <f>347.04+55</f>
        <v>402.04</v>
      </c>
      <c r="O100" s="57">
        <f>347.04+55</f>
        <v>402.04</v>
      </c>
    </row>
    <row r="101" spans="1:15" s="1" customFormat="1" ht="24.75" customHeight="1" x14ac:dyDescent="0.25">
      <c r="A101" s="26">
        <v>77</v>
      </c>
      <c r="B101" s="20" t="s">
        <v>113</v>
      </c>
      <c r="C101" s="14" t="s">
        <v>86</v>
      </c>
      <c r="D101" s="57">
        <v>0</v>
      </c>
      <c r="E101" s="57">
        <v>0</v>
      </c>
      <c r="F101" s="57">
        <v>2.85</v>
      </c>
      <c r="G101" s="57">
        <v>4.4000000000000004</v>
      </c>
      <c r="H101" s="57">
        <v>4.4000000000000004</v>
      </c>
      <c r="I101" s="57">
        <v>4.4000000000000004</v>
      </c>
      <c r="J101" s="57">
        <v>4.8</v>
      </c>
      <c r="K101" s="57">
        <v>4.8</v>
      </c>
      <c r="L101" s="57">
        <v>4.8</v>
      </c>
      <c r="M101" s="57">
        <v>5</v>
      </c>
      <c r="N101" s="57">
        <v>5</v>
      </c>
      <c r="O101" s="57">
        <v>5</v>
      </c>
    </row>
    <row r="102" spans="1:15" s="1" customFormat="1" ht="42" customHeight="1" x14ac:dyDescent="0.25">
      <c r="A102" s="26">
        <v>78</v>
      </c>
      <c r="B102" s="20" t="s">
        <v>114</v>
      </c>
      <c r="C102" s="14" t="s">
        <v>86</v>
      </c>
      <c r="D102" s="57">
        <v>24.28</v>
      </c>
      <c r="E102" s="57">
        <v>26.96</v>
      </c>
      <c r="F102" s="57">
        <v>34.47</v>
      </c>
      <c r="G102" s="57">
        <v>38.56</v>
      </c>
      <c r="H102" s="57">
        <v>40.5</v>
      </c>
      <c r="I102" s="57">
        <v>40.5</v>
      </c>
      <c r="J102" s="57">
        <v>39.4</v>
      </c>
      <c r="K102" s="57">
        <v>40.5</v>
      </c>
      <c r="L102" s="57">
        <v>40.5</v>
      </c>
      <c r="M102" s="57">
        <v>39.4</v>
      </c>
      <c r="N102" s="57">
        <v>40.5</v>
      </c>
      <c r="O102" s="57">
        <v>40.5</v>
      </c>
    </row>
    <row r="103" spans="1:15" s="1" customFormat="1" ht="20.25" customHeight="1" x14ac:dyDescent="0.25">
      <c r="A103" s="26">
        <v>79</v>
      </c>
      <c r="B103" s="20" t="s">
        <v>115</v>
      </c>
      <c r="C103" s="14" t="s">
        <v>86</v>
      </c>
      <c r="D103" s="57">
        <v>551.84</v>
      </c>
      <c r="E103" s="57">
        <v>238.18</v>
      </c>
      <c r="F103" s="57">
        <v>709.85</v>
      </c>
      <c r="G103" s="57">
        <f>294.37+10-22.23</f>
        <v>282.14</v>
      </c>
      <c r="H103" s="57">
        <f>281+15+10-22.23</f>
        <v>283.77</v>
      </c>
      <c r="I103" s="57">
        <f>281+15+10-22.23</f>
        <v>283.77</v>
      </c>
      <c r="J103" s="57">
        <f>283.41+17+19</f>
        <v>319.41000000000003</v>
      </c>
      <c r="K103" s="57">
        <f>286.17+15+20</f>
        <v>321.17</v>
      </c>
      <c r="L103" s="57">
        <f>286.17+15+20</f>
        <v>321.17</v>
      </c>
      <c r="M103" s="57">
        <f>268.41+37</f>
        <v>305.41000000000003</v>
      </c>
      <c r="N103" s="57">
        <f>273.17+33</f>
        <v>306.17</v>
      </c>
      <c r="O103" s="57">
        <f>273.17+33</f>
        <v>306.17</v>
      </c>
    </row>
    <row r="104" spans="1:15" s="1" customFormat="1" ht="21.75" customHeight="1" x14ac:dyDescent="0.25">
      <c r="A104" s="26">
        <v>80</v>
      </c>
      <c r="B104" s="20" t="s">
        <v>116</v>
      </c>
      <c r="C104" s="14" t="s">
        <v>86</v>
      </c>
      <c r="D104" s="57">
        <v>366.83</v>
      </c>
      <c r="E104" s="57">
        <v>562.75</v>
      </c>
      <c r="F104" s="57">
        <v>406.8</v>
      </c>
      <c r="G104" s="57">
        <v>197.47000000000003</v>
      </c>
      <c r="H104" s="57">
        <v>200</v>
      </c>
      <c r="I104" s="57">
        <v>200</v>
      </c>
      <c r="J104" s="57">
        <v>203.15</v>
      </c>
      <c r="K104" s="57">
        <v>206.31</v>
      </c>
      <c r="L104" s="57">
        <v>206.31</v>
      </c>
      <c r="M104" s="57">
        <f>193.15+25+0.41</f>
        <v>218.56</v>
      </c>
      <c r="N104" s="57">
        <f>196.31+22.4</f>
        <v>218.71</v>
      </c>
      <c r="O104" s="57">
        <f>196.31+22.4</f>
        <v>218.71</v>
      </c>
    </row>
    <row r="105" spans="1:15" s="1" customFormat="1" ht="18" customHeight="1" x14ac:dyDescent="0.25">
      <c r="A105" s="26">
        <v>81</v>
      </c>
      <c r="B105" s="20" t="s">
        <v>117</v>
      </c>
      <c r="C105" s="14" t="s">
        <v>86</v>
      </c>
      <c r="D105" s="57">
        <v>1.36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v>0</v>
      </c>
      <c r="K105" s="57">
        <v>0</v>
      </c>
      <c r="L105" s="57">
        <v>0</v>
      </c>
      <c r="M105" s="57">
        <v>0</v>
      </c>
      <c r="N105" s="57">
        <v>0</v>
      </c>
      <c r="O105" s="57">
        <v>0</v>
      </c>
    </row>
    <row r="106" spans="1:15" s="1" customFormat="1" ht="18" customHeight="1" x14ac:dyDescent="0.25">
      <c r="A106" s="26">
        <v>82</v>
      </c>
      <c r="B106" s="20" t="s">
        <v>118</v>
      </c>
      <c r="C106" s="14" t="s">
        <v>86</v>
      </c>
      <c r="D106" s="57">
        <v>1897.96</v>
      </c>
      <c r="E106" s="57">
        <v>2065.66</v>
      </c>
      <c r="F106" s="57">
        <v>2279.0100000000002</v>
      </c>
      <c r="G106" s="57">
        <f>2158.11+50+24.07+2.78</f>
        <v>2234.9600000000005</v>
      </c>
      <c r="H106" s="57">
        <f>2250.07+16.07+2.78</f>
        <v>2268.9200000000005</v>
      </c>
      <c r="I106" s="57">
        <f>2250.07+16.07+2.78</f>
        <v>2268.9200000000005</v>
      </c>
      <c r="J106" s="57">
        <f>2183.54+40.2+2.77</f>
        <v>2226.5099999999998</v>
      </c>
      <c r="K106" s="57">
        <f>2219.46+24.55+2.79</f>
        <v>2246.8000000000002</v>
      </c>
      <c r="L106" s="57">
        <f>2219.46+24.55+2.79</f>
        <v>2246.8000000000002</v>
      </c>
      <c r="M106" s="57">
        <f>2159.89+2.77</f>
        <v>2162.66</v>
      </c>
      <c r="N106" s="57">
        <f>2193.62+2.8</f>
        <v>2196.42</v>
      </c>
      <c r="O106" s="57">
        <f>2193.62+2.8</f>
        <v>2196.42</v>
      </c>
    </row>
    <row r="107" spans="1:15" s="1" customFormat="1" ht="16.5" x14ac:dyDescent="0.25">
      <c r="A107" s="26">
        <v>83</v>
      </c>
      <c r="B107" s="20" t="s">
        <v>119</v>
      </c>
      <c r="C107" s="14" t="s">
        <v>86</v>
      </c>
      <c r="D107" s="57">
        <v>164.18</v>
      </c>
      <c r="E107" s="57">
        <v>226.32</v>
      </c>
      <c r="F107" s="57">
        <v>183.61</v>
      </c>
      <c r="G107" s="57">
        <v>179.5</v>
      </c>
      <c r="H107" s="57">
        <v>160</v>
      </c>
      <c r="I107" s="57">
        <v>160</v>
      </c>
      <c r="J107" s="57">
        <v>185.4</v>
      </c>
      <c r="K107" s="57">
        <v>190.01</v>
      </c>
      <c r="L107" s="57">
        <v>190.01</v>
      </c>
      <c r="M107" s="57">
        <v>184.84</v>
      </c>
      <c r="N107" s="57">
        <v>188.45</v>
      </c>
      <c r="O107" s="57">
        <v>188.45</v>
      </c>
    </row>
    <row r="108" spans="1:15" s="1" customFormat="1" ht="27" customHeight="1" x14ac:dyDescent="0.25">
      <c r="A108" s="26">
        <v>84</v>
      </c>
      <c r="B108" s="20" t="s">
        <v>120</v>
      </c>
      <c r="C108" s="14" t="s">
        <v>86</v>
      </c>
      <c r="D108" s="57">
        <v>0</v>
      </c>
      <c r="E108" s="57">
        <v>0</v>
      </c>
      <c r="F108" s="57">
        <v>0</v>
      </c>
      <c r="G108" s="57">
        <v>0</v>
      </c>
      <c r="H108" s="57">
        <v>0</v>
      </c>
      <c r="I108" s="57">
        <v>0</v>
      </c>
      <c r="J108" s="57">
        <v>0</v>
      </c>
      <c r="K108" s="57">
        <v>0</v>
      </c>
      <c r="L108" s="57">
        <v>0</v>
      </c>
      <c r="M108" s="57">
        <v>0</v>
      </c>
      <c r="N108" s="57">
        <v>0</v>
      </c>
      <c r="O108" s="57">
        <v>0</v>
      </c>
    </row>
    <row r="109" spans="1:15" s="1" customFormat="1" ht="19.5" customHeight="1" x14ac:dyDescent="0.25">
      <c r="A109" s="26">
        <v>85</v>
      </c>
      <c r="B109" s="20" t="s">
        <v>121</v>
      </c>
      <c r="C109" s="14" t="s">
        <v>86</v>
      </c>
      <c r="D109" s="57">
        <v>1400.01</v>
      </c>
      <c r="E109" s="57">
        <v>995.51</v>
      </c>
      <c r="F109" s="57">
        <v>689</v>
      </c>
      <c r="G109" s="57">
        <v>599</v>
      </c>
      <c r="H109" s="57">
        <v>599</v>
      </c>
      <c r="I109" s="57">
        <v>599</v>
      </c>
      <c r="J109" s="57">
        <v>654.4</v>
      </c>
      <c r="K109" s="57">
        <v>654.4</v>
      </c>
      <c r="L109" s="57">
        <v>654.4</v>
      </c>
      <c r="M109" s="57">
        <v>669.7</v>
      </c>
      <c r="N109" s="57">
        <v>669.7</v>
      </c>
      <c r="O109" s="57">
        <v>669.7</v>
      </c>
    </row>
    <row r="110" spans="1:15" s="1" customFormat="1" ht="24.75" customHeight="1" x14ac:dyDescent="0.25">
      <c r="A110" s="26">
        <v>86</v>
      </c>
      <c r="B110" s="20" t="s">
        <v>122</v>
      </c>
      <c r="C110" s="14" t="s">
        <v>86</v>
      </c>
      <c r="D110" s="57">
        <v>17.73</v>
      </c>
      <c r="E110" s="57">
        <v>32.43</v>
      </c>
      <c r="F110" s="57">
        <v>49.94</v>
      </c>
      <c r="G110" s="57">
        <v>29.75</v>
      </c>
      <c r="H110" s="57">
        <v>30.2</v>
      </c>
      <c r="I110" s="57">
        <v>30.2</v>
      </c>
      <c r="J110" s="57">
        <v>32.5</v>
      </c>
      <c r="K110" s="57">
        <v>35.020000000000003</v>
      </c>
      <c r="L110" s="57">
        <v>35.020000000000003</v>
      </c>
      <c r="M110" s="57">
        <v>32.5</v>
      </c>
      <c r="N110" s="57">
        <v>35.020000000000003</v>
      </c>
      <c r="O110" s="57">
        <v>35.020000000000003</v>
      </c>
    </row>
    <row r="111" spans="1:15" s="1" customFormat="1" ht="27" customHeight="1" x14ac:dyDescent="0.25">
      <c r="A111" s="26">
        <v>87</v>
      </c>
      <c r="B111" s="20" t="s">
        <v>123</v>
      </c>
      <c r="C111" s="14" t="s">
        <v>86</v>
      </c>
      <c r="D111" s="57">
        <v>0</v>
      </c>
      <c r="E111" s="57">
        <v>0</v>
      </c>
      <c r="F111" s="57">
        <v>0</v>
      </c>
      <c r="G111" s="57">
        <v>0</v>
      </c>
      <c r="H111" s="57">
        <v>0</v>
      </c>
      <c r="I111" s="57">
        <v>0</v>
      </c>
      <c r="J111" s="57">
        <v>0</v>
      </c>
      <c r="K111" s="57">
        <v>0</v>
      </c>
      <c r="L111" s="57">
        <v>0</v>
      </c>
      <c r="M111" s="57">
        <v>0</v>
      </c>
      <c r="N111" s="57">
        <v>0</v>
      </c>
      <c r="O111" s="57">
        <v>0</v>
      </c>
    </row>
    <row r="112" spans="1:15" s="1" customFormat="1" ht="34.5" customHeight="1" x14ac:dyDescent="0.25">
      <c r="A112" s="26">
        <v>88</v>
      </c>
      <c r="B112" s="20" t="s">
        <v>124</v>
      </c>
      <c r="C112" s="14" t="s">
        <v>86</v>
      </c>
      <c r="D112" s="57">
        <v>15.12</v>
      </c>
      <c r="E112" s="57">
        <v>1.06</v>
      </c>
      <c r="F112" s="57">
        <v>0.28999999999999998</v>
      </c>
      <c r="G112" s="57">
        <v>0.27</v>
      </c>
      <c r="H112" s="57">
        <v>0.27</v>
      </c>
      <c r="I112" s="57">
        <v>0.27</v>
      </c>
      <c r="J112" s="57">
        <v>0.27</v>
      </c>
      <c r="K112" s="57">
        <v>0.27</v>
      </c>
      <c r="L112" s="57">
        <v>0.27</v>
      </c>
      <c r="M112" s="57">
        <v>0.18</v>
      </c>
      <c r="N112" s="57">
        <v>0.18</v>
      </c>
      <c r="O112" s="57">
        <v>0.18</v>
      </c>
    </row>
    <row r="113" spans="1:15" s="1" customFormat="1" ht="36.75" customHeight="1" x14ac:dyDescent="0.25">
      <c r="A113" s="26">
        <v>89</v>
      </c>
      <c r="B113" s="21" t="s">
        <v>76</v>
      </c>
      <c r="C113" s="17" t="s">
        <v>26</v>
      </c>
      <c r="D113" s="57">
        <v>43.37</v>
      </c>
      <c r="E113" s="57">
        <f>E80-E99</f>
        <v>-49.300000000000182</v>
      </c>
      <c r="F113" s="57">
        <f>F80-F99</f>
        <v>22.369999999998981</v>
      </c>
      <c r="G113" s="57">
        <f t="shared" ref="G113:H113" si="22">G80-G99</f>
        <v>95.869999999999436</v>
      </c>
      <c r="H113" s="57">
        <f t="shared" si="22"/>
        <v>95.869999999999436</v>
      </c>
      <c r="I113" s="57">
        <f t="shared" ref="I113" si="23">I80-I99</f>
        <v>95.869999999999436</v>
      </c>
      <c r="J113" s="57">
        <f t="shared" ref="J113:K113" si="24">J80-J99</f>
        <v>95.869999999999891</v>
      </c>
      <c r="K113" s="57">
        <f t="shared" si="24"/>
        <v>95.869999999999891</v>
      </c>
      <c r="L113" s="57">
        <f t="shared" ref="L113" si="25">L80-L99</f>
        <v>95.869999999999891</v>
      </c>
      <c r="M113" s="57">
        <f t="shared" ref="M113:N113" si="26">M80-M99</f>
        <v>95.870000000001255</v>
      </c>
      <c r="N113" s="57">
        <f t="shared" si="26"/>
        <v>95.8700000000008</v>
      </c>
      <c r="O113" s="57">
        <f t="shared" ref="O113" si="27">O80-O99</f>
        <v>95.8700000000008</v>
      </c>
    </row>
    <row r="114" spans="1:15" s="1" customFormat="1" ht="37.5" customHeight="1" x14ac:dyDescent="0.25">
      <c r="A114" s="26">
        <v>90</v>
      </c>
      <c r="B114" s="21" t="s">
        <v>77</v>
      </c>
      <c r="C114" s="17" t="s">
        <v>26</v>
      </c>
      <c r="D114" s="57">
        <v>367.62</v>
      </c>
      <c r="E114" s="57">
        <v>287.62</v>
      </c>
      <c r="F114" s="57">
        <v>287.62</v>
      </c>
      <c r="G114" s="57">
        <v>287.62</v>
      </c>
      <c r="H114" s="57">
        <v>287.62</v>
      </c>
      <c r="I114" s="57">
        <v>287.62</v>
      </c>
      <c r="J114" s="57">
        <v>191.74</v>
      </c>
      <c r="K114" s="57">
        <v>191.74</v>
      </c>
      <c r="L114" s="57">
        <v>191.74</v>
      </c>
      <c r="M114" s="57">
        <v>95.87</v>
      </c>
      <c r="N114" s="57">
        <v>95.87</v>
      </c>
      <c r="O114" s="57">
        <v>95.87</v>
      </c>
    </row>
    <row r="115" spans="1:15" s="1" customFormat="1" ht="15.75" x14ac:dyDescent="0.2">
      <c r="A115" s="65" t="s">
        <v>125</v>
      </c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7"/>
    </row>
    <row r="116" spans="1:15" s="1" customFormat="1" ht="39" customHeight="1" x14ac:dyDescent="0.2">
      <c r="A116" s="26">
        <v>91</v>
      </c>
      <c r="B116" s="6" t="s">
        <v>126</v>
      </c>
      <c r="C116" s="5" t="s">
        <v>22</v>
      </c>
      <c r="D116" s="40">
        <v>103.43</v>
      </c>
      <c r="E116" s="63">
        <v>103.61</v>
      </c>
      <c r="F116" s="64">
        <f>E116*100.4/100</f>
        <v>104.02444000000001</v>
      </c>
      <c r="G116" s="64">
        <f>F116*101.1/100</f>
        <v>105.16870883999999</v>
      </c>
      <c r="H116" s="64">
        <f>F116*101.1/100</f>
        <v>105.16870883999999</v>
      </c>
      <c r="I116" s="64">
        <v>105.17</v>
      </c>
      <c r="J116" s="64">
        <f>I116*100.4/100</f>
        <v>105.59068000000001</v>
      </c>
      <c r="K116" s="64">
        <f>I116*100.4/100</f>
        <v>105.59068000000001</v>
      </c>
      <c r="L116" s="64">
        <v>105.59</v>
      </c>
      <c r="M116" s="64">
        <f>K116*100.7/100</f>
        <v>106.32981476</v>
      </c>
      <c r="N116" s="64">
        <f>L116*100.7/100</f>
        <v>106.32913000000001</v>
      </c>
      <c r="O116" s="64">
        <v>106.33</v>
      </c>
    </row>
    <row r="117" spans="1:15" s="1" customFormat="1" ht="32.25" customHeight="1" x14ac:dyDescent="0.2">
      <c r="A117" s="26">
        <v>92</v>
      </c>
      <c r="B117" s="6" t="s">
        <v>161</v>
      </c>
      <c r="C117" s="5" t="s">
        <v>22</v>
      </c>
      <c r="D117" s="40">
        <v>82.49</v>
      </c>
      <c r="E117" s="5">
        <f>E118+E120</f>
        <v>83.289999999999992</v>
      </c>
      <c r="F117" s="5">
        <f t="shared" ref="F117:G117" si="28">F118+F120</f>
        <v>83.910000000000011</v>
      </c>
      <c r="G117" s="5">
        <f t="shared" si="28"/>
        <v>84.29</v>
      </c>
      <c r="H117" s="10">
        <f>H118+H120</f>
        <v>84.3</v>
      </c>
      <c r="I117" s="10">
        <f>I118+I120</f>
        <v>84.3</v>
      </c>
      <c r="J117" s="5">
        <f t="shared" ref="J117:K117" si="29">J118+J120</f>
        <v>84.7</v>
      </c>
      <c r="K117" s="5">
        <f t="shared" si="29"/>
        <v>84.61</v>
      </c>
      <c r="L117" s="5">
        <f t="shared" ref="L117" si="30">L118+L120</f>
        <v>84.61</v>
      </c>
      <c r="M117" s="5">
        <f t="shared" ref="M117:N117" si="31">M118+M120</f>
        <v>84.92</v>
      </c>
      <c r="N117" s="5">
        <f t="shared" si="31"/>
        <v>84.92</v>
      </c>
      <c r="O117" s="5">
        <f t="shared" ref="O117" si="32">O118+O120</f>
        <v>84.92</v>
      </c>
    </row>
    <row r="118" spans="1:15" s="1" customFormat="1" ht="36" customHeight="1" x14ac:dyDescent="0.2">
      <c r="A118" s="26">
        <v>93</v>
      </c>
      <c r="B118" s="6" t="s">
        <v>162</v>
      </c>
      <c r="C118" s="5" t="s">
        <v>22</v>
      </c>
      <c r="D118" s="40">
        <v>79.7</v>
      </c>
      <c r="E118" s="5">
        <v>78.3</v>
      </c>
      <c r="F118" s="5">
        <v>78.900000000000006</v>
      </c>
      <c r="G118" s="5">
        <v>79.2</v>
      </c>
      <c r="H118" s="5">
        <v>79.2</v>
      </c>
      <c r="I118" s="5">
        <v>79.2</v>
      </c>
      <c r="J118" s="5">
        <v>79.5</v>
      </c>
      <c r="K118" s="5">
        <v>79.5</v>
      </c>
      <c r="L118" s="5">
        <v>79.5</v>
      </c>
      <c r="M118" s="5">
        <v>79.7</v>
      </c>
      <c r="N118" s="5">
        <v>79.7</v>
      </c>
      <c r="O118" s="5">
        <v>79.7</v>
      </c>
    </row>
    <row r="119" spans="1:15" s="1" customFormat="1" ht="24.75" customHeight="1" x14ac:dyDescent="0.2">
      <c r="A119" s="26">
        <v>94</v>
      </c>
      <c r="B119" s="6" t="s">
        <v>163</v>
      </c>
      <c r="C119" s="5" t="s">
        <v>22</v>
      </c>
      <c r="D119" s="40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</row>
    <row r="120" spans="1:15" s="1" customFormat="1" ht="37.5" customHeight="1" x14ac:dyDescent="0.2">
      <c r="A120" s="26">
        <v>95</v>
      </c>
      <c r="B120" s="6" t="s">
        <v>164</v>
      </c>
      <c r="C120" s="5" t="s">
        <v>22</v>
      </c>
      <c r="D120" s="40">
        <v>4.99</v>
      </c>
      <c r="E120" s="40">
        <v>4.99</v>
      </c>
      <c r="F120" s="64">
        <f t="shared" ref="F120:H120" si="33">F121+F122</f>
        <v>5.01</v>
      </c>
      <c r="G120" s="64">
        <f t="shared" si="33"/>
        <v>5.09</v>
      </c>
      <c r="H120" s="64">
        <f t="shared" si="33"/>
        <v>5.0999999999999996</v>
      </c>
      <c r="I120" s="64">
        <f t="shared" ref="I120" si="34">I121+I122</f>
        <v>5.0999999999999996</v>
      </c>
      <c r="J120" s="64">
        <f t="shared" ref="J120:K120" si="35">J121+J122</f>
        <v>5.1999999999999993</v>
      </c>
      <c r="K120" s="64">
        <f t="shared" si="35"/>
        <v>5.1100000000000003</v>
      </c>
      <c r="L120" s="64">
        <f t="shared" ref="L120" si="36">L121+L122</f>
        <v>5.1100000000000003</v>
      </c>
      <c r="M120" s="64">
        <f t="shared" ref="M120:N120" si="37">M121+M122</f>
        <v>5.22</v>
      </c>
      <c r="N120" s="64">
        <f t="shared" si="37"/>
        <v>5.22</v>
      </c>
      <c r="O120" s="64">
        <f t="shared" ref="O120" si="38">O121+O122</f>
        <v>5.22</v>
      </c>
    </row>
    <row r="121" spans="1:15" s="1" customFormat="1" ht="22.5" customHeight="1" x14ac:dyDescent="0.2">
      <c r="A121" s="26">
        <v>96</v>
      </c>
      <c r="B121" s="6" t="s">
        <v>165</v>
      </c>
      <c r="C121" s="5" t="s">
        <v>22</v>
      </c>
      <c r="D121" s="40">
        <v>4.91</v>
      </c>
      <c r="E121" s="40">
        <v>4.91</v>
      </c>
      <c r="F121" s="64">
        <v>4.92</v>
      </c>
      <c r="G121" s="64">
        <v>5</v>
      </c>
      <c r="H121" s="64">
        <v>5</v>
      </c>
      <c r="I121" s="64">
        <v>5</v>
      </c>
      <c r="J121" s="64">
        <v>5.0999999999999996</v>
      </c>
      <c r="K121" s="64">
        <v>5</v>
      </c>
      <c r="L121" s="64">
        <v>5</v>
      </c>
      <c r="M121" s="64">
        <v>5.0999999999999996</v>
      </c>
      <c r="N121" s="63">
        <v>5.0999999999999996</v>
      </c>
      <c r="O121" s="63">
        <v>5.0999999999999996</v>
      </c>
    </row>
    <row r="122" spans="1:15" s="1" customFormat="1" ht="24" customHeight="1" x14ac:dyDescent="0.2">
      <c r="A122" s="26">
        <v>97</v>
      </c>
      <c r="B122" s="6" t="s">
        <v>166</v>
      </c>
      <c r="C122" s="5" t="s">
        <v>22</v>
      </c>
      <c r="D122" s="40">
        <v>0.08</v>
      </c>
      <c r="E122" s="40">
        <v>0.08</v>
      </c>
      <c r="F122" s="64">
        <v>0.09</v>
      </c>
      <c r="G122" s="64">
        <v>0.09</v>
      </c>
      <c r="H122" s="64">
        <v>0.1</v>
      </c>
      <c r="I122" s="64">
        <v>0.1</v>
      </c>
      <c r="J122" s="64">
        <v>0.1</v>
      </c>
      <c r="K122" s="64">
        <v>0.11</v>
      </c>
      <c r="L122" s="64">
        <v>0.11</v>
      </c>
      <c r="M122" s="64">
        <v>0.12</v>
      </c>
      <c r="N122" s="64">
        <v>0.12</v>
      </c>
      <c r="O122" s="64">
        <v>0.12</v>
      </c>
    </row>
    <row r="123" spans="1:15" s="1" customFormat="1" ht="32.25" customHeight="1" x14ac:dyDescent="0.2">
      <c r="A123" s="26">
        <v>98</v>
      </c>
      <c r="B123" s="6" t="s">
        <v>127</v>
      </c>
      <c r="C123" s="5" t="s">
        <v>22</v>
      </c>
      <c r="D123" s="40">
        <v>47.3</v>
      </c>
      <c r="E123" s="5">
        <v>47.8</v>
      </c>
      <c r="F123" s="64">
        <v>48</v>
      </c>
      <c r="G123" s="64">
        <f>F123*100.5/100</f>
        <v>48.24</v>
      </c>
      <c r="H123" s="64">
        <f>F123*100.55/100</f>
        <v>48.263999999999996</v>
      </c>
      <c r="I123" s="64">
        <v>48.26</v>
      </c>
      <c r="J123" s="64">
        <v>48.57</v>
      </c>
      <c r="K123" s="64">
        <f>I123*100.7/100</f>
        <v>48.597819999999999</v>
      </c>
      <c r="L123" s="64">
        <v>48.6</v>
      </c>
      <c r="M123" s="64">
        <v>48.91</v>
      </c>
      <c r="N123" s="64">
        <f>L123*100.8/100</f>
        <v>48.988799999999998</v>
      </c>
      <c r="O123" s="64">
        <v>48.99</v>
      </c>
    </row>
    <row r="124" spans="1:15" s="1" customFormat="1" ht="34.5" customHeight="1" x14ac:dyDescent="0.2">
      <c r="A124" s="26">
        <v>99</v>
      </c>
      <c r="B124" s="11" t="s">
        <v>38</v>
      </c>
      <c r="C124" s="4" t="s">
        <v>22</v>
      </c>
      <c r="D124" s="40">
        <v>23.67</v>
      </c>
      <c r="E124" s="5">
        <v>23.97</v>
      </c>
      <c r="F124" s="64">
        <v>24.03</v>
      </c>
      <c r="G124" s="64">
        <f>F124*100.5/100</f>
        <v>24.150150000000004</v>
      </c>
      <c r="H124" s="64">
        <f>F124*100.55/100</f>
        <v>24.162165000000002</v>
      </c>
      <c r="I124" s="64">
        <v>24.16</v>
      </c>
      <c r="J124" s="64">
        <v>24.31</v>
      </c>
      <c r="K124" s="64">
        <f>I124*100.7/100</f>
        <v>24.329120000000003</v>
      </c>
      <c r="L124" s="64">
        <v>24.33</v>
      </c>
      <c r="M124" s="64">
        <v>24.48</v>
      </c>
      <c r="N124" s="64">
        <v>24.53</v>
      </c>
      <c r="O124" s="64">
        <v>24.53</v>
      </c>
    </row>
    <row r="125" spans="1:15" s="1" customFormat="1" ht="33.75" customHeight="1" x14ac:dyDescent="0.2">
      <c r="A125" s="26">
        <v>100</v>
      </c>
      <c r="B125" s="6" t="s">
        <v>78</v>
      </c>
      <c r="C125" s="5" t="s">
        <v>79</v>
      </c>
      <c r="D125" s="40">
        <v>46313.599999999999</v>
      </c>
      <c r="E125" s="64">
        <v>53145.5</v>
      </c>
      <c r="F125" s="64">
        <v>62871.13</v>
      </c>
      <c r="G125" s="64">
        <f>F125*G126/100</f>
        <v>69912.696559999997</v>
      </c>
      <c r="H125" s="64">
        <f>F125*H126/100</f>
        <v>71170.119160000002</v>
      </c>
      <c r="I125" s="64">
        <v>71170.12</v>
      </c>
      <c r="J125" s="64">
        <v>75995.100000000006</v>
      </c>
      <c r="K125" s="64">
        <v>78429.47</v>
      </c>
      <c r="L125" s="64">
        <v>78429.47</v>
      </c>
      <c r="M125" s="64">
        <v>82150.7</v>
      </c>
      <c r="N125" s="64">
        <f>L125*N126/100</f>
        <v>84939.116009999998</v>
      </c>
      <c r="O125" s="64">
        <v>84939.12</v>
      </c>
    </row>
    <row r="126" spans="1:15" s="1" customFormat="1" ht="51" customHeight="1" x14ac:dyDescent="0.2">
      <c r="A126" s="26">
        <v>101</v>
      </c>
      <c r="B126" s="6" t="s">
        <v>128</v>
      </c>
      <c r="C126" s="5" t="s">
        <v>74</v>
      </c>
      <c r="D126" s="40">
        <v>114.3</v>
      </c>
      <c r="E126" s="64">
        <v>114.4</v>
      </c>
      <c r="F126" s="64">
        <v>118.3</v>
      </c>
      <c r="G126" s="64">
        <v>111.2</v>
      </c>
      <c r="H126" s="64">
        <v>113.2</v>
      </c>
      <c r="I126" s="64">
        <v>113.2</v>
      </c>
      <c r="J126" s="64">
        <v>108.7</v>
      </c>
      <c r="K126" s="64">
        <v>110.2</v>
      </c>
      <c r="L126" s="64">
        <v>110.2</v>
      </c>
      <c r="M126" s="64">
        <v>108.1</v>
      </c>
      <c r="N126" s="64">
        <v>108.3</v>
      </c>
      <c r="O126" s="64">
        <v>108.3</v>
      </c>
    </row>
    <row r="127" spans="1:15" s="1" customFormat="1" ht="33.75" customHeight="1" x14ac:dyDescent="0.2">
      <c r="A127" s="26">
        <v>102</v>
      </c>
      <c r="B127" s="6" t="s">
        <v>27</v>
      </c>
      <c r="C127" s="5" t="s">
        <v>18</v>
      </c>
      <c r="D127" s="40">
        <v>0.4</v>
      </c>
      <c r="E127" s="64">
        <v>0.25</v>
      </c>
      <c r="F127" s="40">
        <v>0.2</v>
      </c>
      <c r="G127" s="40">
        <v>0.26</v>
      </c>
      <c r="H127" s="40">
        <v>0.24</v>
      </c>
      <c r="I127" s="40">
        <v>0.24</v>
      </c>
      <c r="J127" s="40">
        <v>0.26</v>
      </c>
      <c r="K127" s="40">
        <v>0.24</v>
      </c>
      <c r="L127" s="40">
        <v>0.24</v>
      </c>
      <c r="M127" s="40">
        <v>0.26</v>
      </c>
      <c r="N127" s="40">
        <v>0.24</v>
      </c>
      <c r="O127" s="40">
        <v>0.24</v>
      </c>
    </row>
    <row r="128" spans="1:15" s="1" customFormat="1" ht="36.75" customHeight="1" x14ac:dyDescent="0.2">
      <c r="A128" s="26">
        <v>103</v>
      </c>
      <c r="B128" s="6" t="s">
        <v>129</v>
      </c>
      <c r="C128" s="5" t="s">
        <v>22</v>
      </c>
      <c r="D128" s="40">
        <v>20.94</v>
      </c>
      <c r="E128" s="64">
        <v>20.73</v>
      </c>
      <c r="F128" s="64">
        <v>20.72</v>
      </c>
      <c r="G128" s="64">
        <v>19.7</v>
      </c>
      <c r="H128" s="64">
        <v>19.8</v>
      </c>
      <c r="I128" s="64">
        <v>19.8</v>
      </c>
      <c r="J128" s="64">
        <v>19.2</v>
      </c>
      <c r="K128" s="64">
        <v>19.239999999999998</v>
      </c>
      <c r="L128" s="64">
        <v>19.239999999999998</v>
      </c>
      <c r="M128" s="64">
        <v>19.2</v>
      </c>
      <c r="N128" s="64">
        <v>19.100000000000001</v>
      </c>
      <c r="O128" s="64">
        <v>19.100000000000001</v>
      </c>
    </row>
    <row r="129" spans="1:15" s="1" customFormat="1" ht="58.5" customHeight="1" x14ac:dyDescent="0.2">
      <c r="A129" s="26">
        <v>104</v>
      </c>
      <c r="B129" s="6" t="s">
        <v>130</v>
      </c>
      <c r="C129" s="5" t="s">
        <v>22</v>
      </c>
      <c r="D129" s="40">
        <v>0.31</v>
      </c>
      <c r="E129" s="64">
        <v>0.19</v>
      </c>
      <c r="F129" s="40">
        <v>0.14000000000000001</v>
      </c>
      <c r="G129" s="40">
        <v>0.2</v>
      </c>
      <c r="H129" s="40">
        <v>0.18</v>
      </c>
      <c r="I129" s="40">
        <v>0.18</v>
      </c>
      <c r="J129" s="40">
        <v>0.2</v>
      </c>
      <c r="K129" s="40">
        <v>0.18</v>
      </c>
      <c r="L129" s="40">
        <v>0.18</v>
      </c>
      <c r="M129" s="40">
        <v>0.2</v>
      </c>
      <c r="N129" s="40">
        <v>0.18</v>
      </c>
      <c r="O129" s="40">
        <v>0.18</v>
      </c>
    </row>
    <row r="130" spans="1:15" s="1" customFormat="1" ht="26.25" customHeight="1" x14ac:dyDescent="0.2">
      <c r="A130" s="26">
        <v>105</v>
      </c>
      <c r="B130" s="6" t="s">
        <v>80</v>
      </c>
      <c r="C130" s="5" t="s">
        <v>86</v>
      </c>
      <c r="D130" s="40">
        <v>13151.9</v>
      </c>
      <c r="E130" s="64">
        <v>15286.7</v>
      </c>
      <c r="F130" s="64">
        <v>18084.169999999998</v>
      </c>
      <c r="G130" s="64">
        <f>F130*G131/100</f>
        <v>20109.597040000001</v>
      </c>
      <c r="H130" s="64">
        <f>F130*H131/100</f>
        <v>20507.448779999999</v>
      </c>
      <c r="I130" s="64">
        <v>20507.45</v>
      </c>
      <c r="J130" s="64">
        <v>21879.24</v>
      </c>
      <c r="K130" s="64">
        <f>I130*K131/100</f>
        <v>22660.732250000001</v>
      </c>
      <c r="L130" s="64">
        <v>22660.73</v>
      </c>
      <c r="M130" s="64">
        <v>23651.46</v>
      </c>
      <c r="N130" s="64">
        <f>L130*N131/100</f>
        <v>24541.570589999999</v>
      </c>
      <c r="O130" s="64">
        <v>24541.57</v>
      </c>
    </row>
    <row r="131" spans="1:15" s="1" customFormat="1" ht="42" customHeight="1" x14ac:dyDescent="0.2">
      <c r="A131" s="26">
        <v>106</v>
      </c>
      <c r="B131" s="6" t="s">
        <v>81</v>
      </c>
      <c r="C131" s="5" t="s">
        <v>74</v>
      </c>
      <c r="D131" s="40">
        <v>114.3</v>
      </c>
      <c r="E131" s="64">
        <v>114.4</v>
      </c>
      <c r="F131" s="64">
        <v>118.3</v>
      </c>
      <c r="G131" s="64">
        <v>111.2</v>
      </c>
      <c r="H131" s="64">
        <v>113.4</v>
      </c>
      <c r="I131" s="64">
        <v>113.4</v>
      </c>
      <c r="J131" s="64">
        <v>108.8</v>
      </c>
      <c r="K131" s="64">
        <v>110.5</v>
      </c>
      <c r="L131" s="64">
        <v>110.5</v>
      </c>
      <c r="M131" s="64">
        <v>108.1</v>
      </c>
      <c r="N131" s="64">
        <v>108.3</v>
      </c>
      <c r="O131" s="64">
        <v>108.3</v>
      </c>
    </row>
    <row r="132" spans="1:15" s="1" customFormat="1" ht="15.75" x14ac:dyDescent="0.2">
      <c r="A132" s="65" t="s">
        <v>131</v>
      </c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7"/>
    </row>
    <row r="133" spans="1:15" s="1" customFormat="1" ht="43.5" customHeight="1" x14ac:dyDescent="0.2">
      <c r="A133" s="26">
        <v>107</v>
      </c>
      <c r="B133" s="6" t="s">
        <v>132</v>
      </c>
      <c r="C133" s="5" t="s">
        <v>74</v>
      </c>
      <c r="D133" s="59">
        <v>114.5</v>
      </c>
      <c r="E133" s="60">
        <v>110.767</v>
      </c>
      <c r="F133" s="61">
        <v>100</v>
      </c>
      <c r="G133" s="62">
        <v>105.8642</v>
      </c>
      <c r="H133" s="62">
        <v>105.8642</v>
      </c>
      <c r="I133" s="62">
        <v>105.8642</v>
      </c>
      <c r="J133" s="62">
        <v>105.97799999999999</v>
      </c>
      <c r="K133" s="62">
        <v>106</v>
      </c>
      <c r="L133" s="62">
        <v>106</v>
      </c>
      <c r="M133" s="62">
        <v>106.116</v>
      </c>
      <c r="N133" s="62">
        <v>106.1</v>
      </c>
      <c r="O133" s="62">
        <v>106.1</v>
      </c>
    </row>
    <row r="134" spans="1:15" s="1" customFormat="1" ht="18.75" customHeight="1" x14ac:dyDescent="0.2">
      <c r="A134" s="65" t="s">
        <v>136</v>
      </c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7"/>
    </row>
    <row r="135" spans="1:15" s="1" customFormat="1" ht="35.25" customHeight="1" x14ac:dyDescent="0.2">
      <c r="A135" s="26">
        <v>108</v>
      </c>
      <c r="B135" s="11" t="s">
        <v>29</v>
      </c>
      <c r="C135" s="3" t="s">
        <v>28</v>
      </c>
      <c r="D135" s="40">
        <v>5908</v>
      </c>
      <c r="E135" s="40">
        <v>6093</v>
      </c>
      <c r="F135" s="5">
        <v>5950</v>
      </c>
      <c r="G135" s="5">
        <v>5800</v>
      </c>
      <c r="H135" s="5">
        <v>5800</v>
      </c>
      <c r="I135" s="5">
        <v>5800</v>
      </c>
      <c r="J135" s="5">
        <v>5800</v>
      </c>
      <c r="K135" s="5">
        <v>5800</v>
      </c>
      <c r="L135" s="5">
        <v>5800</v>
      </c>
      <c r="M135" s="5">
        <v>5800</v>
      </c>
      <c r="N135" s="5">
        <v>5800</v>
      </c>
      <c r="O135" s="5">
        <v>5800</v>
      </c>
    </row>
    <row r="136" spans="1:15" s="1" customFormat="1" ht="15.75" x14ac:dyDescent="0.2">
      <c r="A136" s="26">
        <v>109</v>
      </c>
      <c r="B136" s="9" t="s">
        <v>30</v>
      </c>
      <c r="C136" s="3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</row>
    <row r="137" spans="1:15" s="1" customFormat="1" ht="27.75" customHeight="1" x14ac:dyDescent="0.2">
      <c r="A137" s="26">
        <v>110</v>
      </c>
      <c r="B137" s="9" t="s">
        <v>31</v>
      </c>
      <c r="C137" s="3" t="s">
        <v>32</v>
      </c>
      <c r="D137" s="40">
        <v>74.790000000000006</v>
      </c>
      <c r="E137" s="53">
        <v>86.2</v>
      </c>
      <c r="F137" s="53">
        <v>86.478227654698244</v>
      </c>
      <c r="G137" s="53">
        <v>86.610558530987007</v>
      </c>
      <c r="H137" s="53">
        <v>86.610558530987007</v>
      </c>
      <c r="I137" s="53">
        <v>86.610558530987007</v>
      </c>
      <c r="J137" s="53">
        <v>86.743295019157088</v>
      </c>
      <c r="K137" s="53">
        <v>86.743295019157088</v>
      </c>
      <c r="L137" s="53">
        <v>86.743295019157088</v>
      </c>
      <c r="M137" s="53">
        <v>86.87643898695319</v>
      </c>
      <c r="N137" s="53">
        <v>86.87643898695319</v>
      </c>
      <c r="O137" s="53">
        <v>86.87643898695319</v>
      </c>
    </row>
    <row r="138" spans="1:15" s="1" customFormat="1" ht="30.75" customHeight="1" x14ac:dyDescent="0.2">
      <c r="A138" s="26">
        <v>111</v>
      </c>
      <c r="B138" s="9" t="s">
        <v>33</v>
      </c>
      <c r="C138" s="3" t="s">
        <v>34</v>
      </c>
      <c r="D138" s="40">
        <v>24.53</v>
      </c>
      <c r="E138" s="53">
        <v>25.13</v>
      </c>
      <c r="F138" s="53">
        <v>25.210084033613445</v>
      </c>
      <c r="G138" s="53">
        <v>25.248661055853098</v>
      </c>
      <c r="H138" s="53">
        <v>25.248661055853098</v>
      </c>
      <c r="I138" s="53">
        <v>25.248661055853098</v>
      </c>
      <c r="J138" s="53">
        <v>25.287356321839084</v>
      </c>
      <c r="K138" s="53">
        <v>25.287356321839084</v>
      </c>
      <c r="L138" s="53">
        <v>25.287356321839084</v>
      </c>
      <c r="M138" s="53">
        <v>25.326170376055256</v>
      </c>
      <c r="N138" s="53">
        <v>25.326170376055256</v>
      </c>
      <c r="O138" s="53">
        <v>25.326170376055256</v>
      </c>
    </row>
    <row r="139" spans="1:15" s="1" customFormat="1" ht="31.5" x14ac:dyDescent="0.2">
      <c r="A139" s="26">
        <v>112</v>
      </c>
      <c r="B139" s="9" t="s">
        <v>35</v>
      </c>
      <c r="C139" s="3" t="s">
        <v>34</v>
      </c>
      <c r="D139" s="40">
        <v>16.350000000000001</v>
      </c>
      <c r="E139" s="53">
        <v>16.8</v>
      </c>
      <c r="F139" s="53">
        <v>16.806722689075627</v>
      </c>
      <c r="G139" s="53">
        <v>16.832440703902069</v>
      </c>
      <c r="H139" s="53">
        <v>16.832440703902069</v>
      </c>
      <c r="I139" s="53">
        <v>16.832440703902069</v>
      </c>
      <c r="J139" s="53">
        <v>16.85823754789272</v>
      </c>
      <c r="K139" s="53">
        <v>16.85823754789272</v>
      </c>
      <c r="L139" s="53">
        <v>16.85823754789272</v>
      </c>
      <c r="M139" s="53">
        <v>16.884113584036836</v>
      </c>
      <c r="N139" s="53">
        <v>16.884113584036836</v>
      </c>
      <c r="O139" s="53">
        <v>16.884113584036836</v>
      </c>
    </row>
    <row r="140" spans="1:15" s="1" customFormat="1" ht="41.25" customHeight="1" x14ac:dyDescent="0.2">
      <c r="A140" s="26">
        <v>113</v>
      </c>
      <c r="B140" s="9" t="s">
        <v>36</v>
      </c>
      <c r="C140" s="3" t="s">
        <v>39</v>
      </c>
      <c r="D140" s="40">
        <v>798</v>
      </c>
      <c r="E140" s="40">
        <v>1049</v>
      </c>
      <c r="F140" s="5">
        <v>960</v>
      </c>
      <c r="G140" s="5">
        <v>980</v>
      </c>
      <c r="H140" s="5">
        <v>980</v>
      </c>
      <c r="I140" s="5">
        <v>980</v>
      </c>
      <c r="J140" s="5">
        <v>980</v>
      </c>
      <c r="K140" s="5">
        <v>980</v>
      </c>
      <c r="L140" s="5">
        <v>980</v>
      </c>
      <c r="M140" s="5">
        <v>980</v>
      </c>
      <c r="N140" s="5">
        <v>980</v>
      </c>
      <c r="O140" s="5">
        <v>980</v>
      </c>
    </row>
    <row r="141" spans="1:15" s="1" customFormat="1" x14ac:dyDescent="0.2">
      <c r="A141" s="27"/>
      <c r="C141" s="2"/>
    </row>
    <row r="142" spans="1:15" s="1" customFormat="1" x14ac:dyDescent="0.2">
      <c r="A142" s="27"/>
      <c r="C142" s="2"/>
    </row>
    <row r="143" spans="1:15" s="1" customFormat="1" x14ac:dyDescent="0.2">
      <c r="A143" s="27"/>
      <c r="C143" s="2"/>
    </row>
    <row r="144" spans="1:15" s="1" customFormat="1" x14ac:dyDescent="0.2">
      <c r="A144" s="27"/>
      <c r="C144" s="2"/>
    </row>
  </sheetData>
  <mergeCells count="30">
    <mergeCell ref="I4:O4"/>
    <mergeCell ref="A13:O13"/>
    <mergeCell ref="M5:N5"/>
    <mergeCell ref="I3:O3"/>
    <mergeCell ref="I2:M2"/>
    <mergeCell ref="G10:I10"/>
    <mergeCell ref="G9:O9"/>
    <mergeCell ref="B7:O7"/>
    <mergeCell ref="D10:D12"/>
    <mergeCell ref="E10:E12"/>
    <mergeCell ref="F10:F12"/>
    <mergeCell ref="B9:B12"/>
    <mergeCell ref="C9:C12"/>
    <mergeCell ref="M10:O10"/>
    <mergeCell ref="J10:L10"/>
    <mergeCell ref="A9:A12"/>
    <mergeCell ref="A79:O79"/>
    <mergeCell ref="A115:O115"/>
    <mergeCell ref="A134:O134"/>
    <mergeCell ref="A27:O27"/>
    <mergeCell ref="A22:O22"/>
    <mergeCell ref="A30:O30"/>
    <mergeCell ref="A33:O33"/>
    <mergeCell ref="A40:O40"/>
    <mergeCell ref="A50:O50"/>
    <mergeCell ref="A132:O132"/>
    <mergeCell ref="A54:O54"/>
    <mergeCell ref="A59:O59"/>
    <mergeCell ref="A63:O63"/>
    <mergeCell ref="A68:O68"/>
  </mergeCells>
  <printOptions horizontalCentered="1" verticalCentered="1"/>
  <pageMargins left="0.39370078740157483" right="0.39370078740157483" top="0.78740157480314965" bottom="0.39370078740157483" header="0" footer="0"/>
  <pageSetup paperSize="9" scale="58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Admin</cp:lastModifiedBy>
  <cp:lastPrinted>2024-03-12T07:03:50Z</cp:lastPrinted>
  <dcterms:created xsi:type="dcterms:W3CDTF">2013-05-25T16:45:04Z</dcterms:created>
  <dcterms:modified xsi:type="dcterms:W3CDTF">2024-11-13T07:54:30Z</dcterms:modified>
</cp:coreProperties>
</file>