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Васильева\ПРОГНОЗЫ\Прогноз долгосрочный до 2035г\РАСП № ___-р от __.__.2024г. прогноз до 2036г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calcPr calcId="162913" iterateDelta="1E-4"/>
</workbook>
</file>

<file path=xl/calcChain.xml><?xml version="1.0" encoding="utf-8"?>
<calcChain xmlns="http://schemas.openxmlformats.org/spreadsheetml/2006/main">
  <c r="E93" i="1" l="1"/>
  <c r="M92" i="1"/>
  <c r="P92" i="1" s="1"/>
  <c r="L92" i="1"/>
  <c r="O92" i="1" s="1"/>
  <c r="K92" i="1"/>
  <c r="K87" i="1" s="1"/>
  <c r="J92" i="1"/>
  <c r="I92" i="1"/>
  <c r="E91" i="1"/>
  <c r="N90" i="1"/>
  <c r="M90" i="1"/>
  <c r="M87" i="1" s="1"/>
  <c r="K90" i="1"/>
  <c r="J90" i="1"/>
  <c r="J87" i="1" s="1"/>
  <c r="I90" i="1"/>
  <c r="L90" i="1" s="1"/>
  <c r="E88" i="1"/>
  <c r="H87" i="1"/>
  <c r="G87" i="1"/>
  <c r="F87" i="1"/>
  <c r="E29" i="1"/>
  <c r="N28" i="1"/>
  <c r="Q28" i="1" s="1"/>
  <c r="T28" i="1" s="1"/>
  <c r="M28" i="1"/>
  <c r="P28" i="1" s="1"/>
  <c r="S28" i="1" s="1"/>
  <c r="K28" i="1"/>
  <c r="J28" i="1"/>
  <c r="I28" i="1"/>
  <c r="L28" i="1" s="1"/>
  <c r="O28" i="1" s="1"/>
  <c r="R28" i="1" s="1"/>
  <c r="E27" i="1"/>
  <c r="M26" i="1"/>
  <c r="P26" i="1" s="1"/>
  <c r="S26" i="1" s="1"/>
  <c r="L26" i="1"/>
  <c r="O26" i="1" s="1"/>
  <c r="R26" i="1" s="1"/>
  <c r="K26" i="1"/>
  <c r="N26" i="1" s="1"/>
  <c r="Q26" i="1" s="1"/>
  <c r="T26" i="1" s="1"/>
  <c r="J26" i="1"/>
  <c r="J23" i="1" s="1"/>
  <c r="I26" i="1"/>
  <c r="E24" i="1"/>
  <c r="H23" i="1"/>
  <c r="G23" i="1"/>
  <c r="F23" i="1"/>
  <c r="L87" i="1" l="1"/>
  <c r="O90" i="1"/>
  <c r="O87" i="1" s="1"/>
  <c r="I87" i="1"/>
  <c r="P90" i="1"/>
  <c r="P87" i="1" s="1"/>
  <c r="N92" i="1"/>
  <c r="Q92" i="1" s="1"/>
  <c r="Q90" i="1"/>
  <c r="Q87" i="1" s="1"/>
  <c r="I23" i="1"/>
  <c r="R23" i="1"/>
  <c r="O23" i="1"/>
  <c r="N23" i="1"/>
  <c r="S23" i="1"/>
  <c r="P23" i="1"/>
  <c r="K23" i="1"/>
  <c r="L23" i="1"/>
  <c r="M23" i="1"/>
  <c r="N87" i="1" l="1"/>
  <c r="T23" i="1"/>
  <c r="Q23" i="1"/>
  <c r="G125" i="1" l="1"/>
  <c r="H125" i="1" s="1"/>
  <c r="I125" i="1" s="1"/>
  <c r="J125" i="1" s="1"/>
  <c r="K125" i="1" s="1"/>
  <c r="L125" i="1" s="1"/>
  <c r="M125" i="1" s="1"/>
  <c r="N125" i="1" s="1"/>
  <c r="O125" i="1" s="1"/>
  <c r="P125" i="1" s="1"/>
  <c r="Q125" i="1" s="1"/>
  <c r="G124" i="1"/>
  <c r="H124" i="1" s="1"/>
  <c r="I124" i="1" s="1"/>
  <c r="J124" i="1" s="1"/>
  <c r="K124" i="1" s="1"/>
  <c r="L124" i="1" s="1"/>
  <c r="M124" i="1" s="1"/>
  <c r="N124" i="1" s="1"/>
  <c r="O124" i="1" s="1"/>
  <c r="P124" i="1" s="1"/>
  <c r="Q124" i="1" s="1"/>
  <c r="H123" i="1"/>
  <c r="I123" i="1" s="1"/>
  <c r="J123" i="1" s="1"/>
  <c r="K123" i="1" s="1"/>
  <c r="L123" i="1" s="1"/>
  <c r="M123" i="1" s="1"/>
  <c r="N123" i="1" s="1"/>
  <c r="O123" i="1" s="1"/>
  <c r="P123" i="1" s="1"/>
  <c r="Q123" i="1" s="1"/>
  <c r="G123" i="1"/>
  <c r="L117" i="1"/>
  <c r="O117" i="1" s="1"/>
  <c r="K117" i="1"/>
  <c r="N117" i="1" s="1"/>
  <c r="Q117" i="1" s="1"/>
  <c r="J117" i="1"/>
  <c r="M117" i="1" s="1"/>
  <c r="P117" i="1" s="1"/>
  <c r="I117" i="1"/>
  <c r="G112" i="1"/>
  <c r="H112" i="1" s="1"/>
  <c r="I112" i="1" s="1"/>
  <c r="J112" i="1" s="1"/>
  <c r="K112" i="1" s="1"/>
  <c r="L112" i="1" s="1"/>
  <c r="M112" i="1" s="1"/>
  <c r="N112" i="1" s="1"/>
  <c r="O112" i="1" s="1"/>
  <c r="P112" i="1" s="1"/>
  <c r="Q112" i="1" s="1"/>
  <c r="F106" i="1"/>
  <c r="E106" i="1"/>
  <c r="G105" i="1"/>
  <c r="H105" i="1" s="1"/>
  <c r="F104" i="1"/>
  <c r="E104" i="1"/>
  <c r="G103" i="1"/>
  <c r="H103" i="1" s="1"/>
  <c r="I103" i="1" l="1"/>
  <c r="H104" i="1"/>
  <c r="I105" i="1"/>
  <c r="H106" i="1"/>
  <c r="G104" i="1"/>
  <c r="G106" i="1"/>
  <c r="I106" i="1" l="1"/>
  <c r="J105" i="1"/>
  <c r="I104" i="1"/>
  <c r="J103" i="1"/>
  <c r="F61" i="1"/>
  <c r="G61" i="1" s="1"/>
  <c r="H61" i="1" s="1"/>
  <c r="I61" i="1" s="1"/>
  <c r="J61" i="1" s="1"/>
  <c r="K61" i="1" s="1"/>
  <c r="L61" i="1" s="1"/>
  <c r="M61" i="1" s="1"/>
  <c r="N61" i="1" s="1"/>
  <c r="O61" i="1" s="1"/>
  <c r="P61" i="1" s="1"/>
  <c r="Q61" i="1" s="1"/>
  <c r="R61" i="1" s="1"/>
  <c r="S61" i="1" s="1"/>
  <c r="T61" i="1" s="1"/>
  <c r="F60" i="1"/>
  <c r="G60" i="1" s="1"/>
  <c r="H60" i="1" s="1"/>
  <c r="I60" i="1" s="1"/>
  <c r="J60" i="1" s="1"/>
  <c r="K60" i="1" s="1"/>
  <c r="L60" i="1" s="1"/>
  <c r="M60" i="1" s="1"/>
  <c r="N60" i="1" s="1"/>
  <c r="O60" i="1" s="1"/>
  <c r="P60" i="1" s="1"/>
  <c r="Q60" i="1" s="1"/>
  <c r="R60" i="1" s="1"/>
  <c r="S60" i="1" s="1"/>
  <c r="T60" i="1" s="1"/>
  <c r="F59" i="1"/>
  <c r="G59" i="1" s="1"/>
  <c r="H59" i="1" s="1"/>
  <c r="I59" i="1" s="1"/>
  <c r="J59" i="1" s="1"/>
  <c r="K59" i="1" s="1"/>
  <c r="L59" i="1" s="1"/>
  <c r="M59" i="1" s="1"/>
  <c r="N59" i="1" s="1"/>
  <c r="O59" i="1" s="1"/>
  <c r="P59" i="1" s="1"/>
  <c r="Q59" i="1" s="1"/>
  <c r="R59" i="1" s="1"/>
  <c r="S59" i="1" s="1"/>
  <c r="T59" i="1" s="1"/>
  <c r="G53" i="1"/>
  <c r="H53" i="1" s="1"/>
  <c r="I53" i="1" s="1"/>
  <c r="J53" i="1" s="1"/>
  <c r="K53" i="1" s="1"/>
  <c r="L53" i="1" s="1"/>
  <c r="M53" i="1" s="1"/>
  <c r="N53" i="1" s="1"/>
  <c r="O53" i="1" s="1"/>
  <c r="P53" i="1" s="1"/>
  <c r="Q53" i="1" s="1"/>
  <c r="R53" i="1" s="1"/>
  <c r="S53" i="1" s="1"/>
  <c r="T53" i="1" s="1"/>
  <c r="J48" i="1"/>
  <c r="K48" i="1" s="1"/>
  <c r="L48" i="1" s="1"/>
  <c r="M48" i="1" s="1"/>
  <c r="N48" i="1" s="1"/>
  <c r="O48" i="1" s="1"/>
  <c r="P48" i="1" s="1"/>
  <c r="Q48" i="1" s="1"/>
  <c r="R48" i="1" s="1"/>
  <c r="S48" i="1" s="1"/>
  <c r="T48" i="1" s="1"/>
  <c r="I48" i="1"/>
  <c r="J106" i="1" l="1"/>
  <c r="K105" i="1"/>
  <c r="J104" i="1"/>
  <c r="K103" i="1"/>
  <c r="K104" i="1" l="1"/>
  <c r="L103" i="1"/>
  <c r="K106" i="1"/>
  <c r="L105" i="1"/>
  <c r="L106" i="1" l="1"/>
  <c r="M105" i="1"/>
  <c r="L104" i="1"/>
  <c r="M103" i="1"/>
  <c r="N103" i="1" l="1"/>
  <c r="M104" i="1"/>
  <c r="N105" i="1"/>
  <c r="M106" i="1"/>
  <c r="O105" i="1" l="1"/>
  <c r="N106" i="1"/>
  <c r="N104" i="1"/>
  <c r="O103" i="1"/>
  <c r="P103" i="1" l="1"/>
  <c r="O104" i="1"/>
  <c r="P105" i="1"/>
  <c r="O106" i="1"/>
  <c r="Q105" i="1" l="1"/>
  <c r="Q106" i="1" s="1"/>
  <c r="P106" i="1"/>
  <c r="Q103" i="1"/>
  <c r="Q104" i="1" s="1"/>
  <c r="P104" i="1"/>
  <c r="F42" i="1" l="1"/>
  <c r="E42" i="1"/>
  <c r="H41" i="1"/>
  <c r="J41" i="1" s="1"/>
  <c r="G41" i="1"/>
  <c r="I41" i="1" s="1"/>
  <c r="F40" i="1"/>
  <c r="E40" i="1"/>
  <c r="K39" i="1"/>
  <c r="N39" i="1" s="1"/>
  <c r="J39" i="1"/>
  <c r="M39" i="1" s="1"/>
  <c r="I39" i="1"/>
  <c r="L39" i="1" s="1"/>
  <c r="H39" i="1"/>
  <c r="H40" i="1" s="1"/>
  <c r="G39" i="1"/>
  <c r="G40" i="1" s="1"/>
  <c r="N40" i="1" l="1"/>
  <c r="Q39" i="1"/>
  <c r="I42" i="1"/>
  <c r="K41" i="1"/>
  <c r="J42" i="1"/>
  <c r="L41" i="1"/>
  <c r="P39" i="1"/>
  <c r="M40" i="1"/>
  <c r="O39" i="1"/>
  <c r="L40" i="1"/>
  <c r="I40" i="1"/>
  <c r="J40" i="1"/>
  <c r="K40" i="1"/>
  <c r="G42" i="1"/>
  <c r="H42" i="1"/>
  <c r="L97" i="1"/>
  <c r="O97" i="1" s="1"/>
  <c r="M97" i="1"/>
  <c r="P97" i="1" s="1"/>
  <c r="N97" i="1"/>
  <c r="Q97" i="1"/>
  <c r="K97" i="1"/>
  <c r="J97" i="1"/>
  <c r="I97" i="1"/>
  <c r="H97" i="1"/>
  <c r="G97" i="1"/>
  <c r="F97" i="1"/>
  <c r="L33" i="1"/>
  <c r="O33" i="1" s="1"/>
  <c r="R33" i="1" s="1"/>
  <c r="M33" i="1"/>
  <c r="P33" i="1" s="1"/>
  <c r="S33" i="1" s="1"/>
  <c r="N33" i="1"/>
  <c r="Q33" i="1"/>
  <c r="T33" i="1"/>
  <c r="K33" i="1"/>
  <c r="J33" i="1"/>
  <c r="I33" i="1"/>
  <c r="H33" i="1"/>
  <c r="G33" i="1"/>
  <c r="F33" i="1"/>
  <c r="E97" i="1"/>
  <c r="E33" i="1"/>
  <c r="P40" i="1" l="1"/>
  <c r="S39" i="1"/>
  <c r="S40" i="1" s="1"/>
  <c r="M41" i="1"/>
  <c r="K42" i="1"/>
  <c r="L42" i="1"/>
  <c r="N41" i="1"/>
  <c r="Q40" i="1"/>
  <c r="T39" i="1"/>
  <c r="R39" i="1"/>
  <c r="R40" i="1" s="1"/>
  <c r="O40" i="1"/>
  <c r="J100" i="1"/>
  <c r="M100" i="1" s="1"/>
  <c r="P100" i="1" s="1"/>
  <c r="K100" i="1"/>
  <c r="L100" i="1"/>
  <c r="N100" i="1"/>
  <c r="Q100" i="1" s="1"/>
  <c r="O100" i="1"/>
  <c r="I100" i="1"/>
  <c r="H100" i="1"/>
  <c r="G100" i="1"/>
  <c r="F100" i="1"/>
  <c r="J36" i="1"/>
  <c r="M36" i="1" s="1"/>
  <c r="P36" i="1" s="1"/>
  <c r="S36" i="1" s="1"/>
  <c r="K36" i="1"/>
  <c r="N36" i="1" s="1"/>
  <c r="Q36" i="1" s="1"/>
  <c r="T36" i="1" s="1"/>
  <c r="L36" i="1"/>
  <c r="O36" i="1"/>
  <c r="R36" i="1" s="1"/>
  <c r="H36" i="1"/>
  <c r="G36" i="1"/>
  <c r="F36" i="1"/>
  <c r="I36" i="1" s="1"/>
  <c r="J95" i="1"/>
  <c r="M95" i="1" s="1"/>
  <c r="P95" i="1" s="1"/>
  <c r="K95" i="1"/>
  <c r="N95" i="1" s="1"/>
  <c r="Q95" i="1" s="1"/>
  <c r="L95" i="1"/>
  <c r="O95" i="1"/>
  <c r="I95" i="1"/>
  <c r="H95" i="1"/>
  <c r="G95" i="1"/>
  <c r="F95" i="1"/>
  <c r="L31" i="1"/>
  <c r="O31" i="1" s="1"/>
  <c r="R31" i="1" s="1"/>
  <c r="M31" i="1"/>
  <c r="P31" i="1" s="1"/>
  <c r="S31" i="1" s="1"/>
  <c r="N31" i="1"/>
  <c r="Q31" i="1"/>
  <c r="T31" i="1" s="1"/>
  <c r="K31" i="1"/>
  <c r="J31" i="1"/>
  <c r="I31" i="1"/>
  <c r="H31" i="1"/>
  <c r="G31" i="1"/>
  <c r="F31" i="1"/>
  <c r="T40" i="1" l="1"/>
  <c r="P41" i="1"/>
  <c r="N42" i="1"/>
  <c r="O41" i="1"/>
  <c r="M42" i="1"/>
  <c r="J84" i="1"/>
  <c r="M84" i="1" s="1"/>
  <c r="P84" i="1" s="1"/>
  <c r="K84" i="1"/>
  <c r="N84" i="1" s="1"/>
  <c r="Q84" i="1" s="1"/>
  <c r="L84" i="1"/>
  <c r="O84" i="1" s="1"/>
  <c r="I84" i="1"/>
  <c r="G84" i="1"/>
  <c r="H84" i="1"/>
  <c r="F84" i="1"/>
  <c r="J20" i="1"/>
  <c r="M20" i="1" s="1"/>
  <c r="P20" i="1" s="1"/>
  <c r="S20" i="1" s="1"/>
  <c r="K20" i="1"/>
  <c r="N20" i="1" s="1"/>
  <c r="Q20" i="1" s="1"/>
  <c r="T20" i="1" s="1"/>
  <c r="L20" i="1"/>
  <c r="O20" i="1"/>
  <c r="R20" i="1" s="1"/>
  <c r="I20" i="1"/>
  <c r="G20" i="1"/>
  <c r="H20" i="1"/>
  <c r="F20" i="1"/>
  <c r="J81" i="1"/>
  <c r="M81" i="1" s="1"/>
  <c r="P81" i="1" s="1"/>
  <c r="K81" i="1"/>
  <c r="N81" i="1" s="1"/>
  <c r="Q81" i="1" s="1"/>
  <c r="L81" i="1"/>
  <c r="O81" i="1"/>
  <c r="I81" i="1"/>
  <c r="H81" i="1"/>
  <c r="G81" i="1"/>
  <c r="F81" i="1"/>
  <c r="L17" i="1"/>
  <c r="M17" i="1"/>
  <c r="P17" i="1" s="1"/>
  <c r="S17" i="1" s="1"/>
  <c r="N17" i="1"/>
  <c r="O17" i="1"/>
  <c r="Q17" i="1"/>
  <c r="T17" i="1" s="1"/>
  <c r="R17" i="1"/>
  <c r="K17" i="1"/>
  <c r="J17" i="1"/>
  <c r="I17" i="1"/>
  <c r="H17" i="1"/>
  <c r="G17" i="1"/>
  <c r="F17" i="1"/>
  <c r="Q41" i="1" l="1"/>
  <c r="O42" i="1"/>
  <c r="R41" i="1"/>
  <c r="P42" i="1"/>
  <c r="E100" i="1"/>
  <c r="E36" i="1"/>
  <c r="Q42" i="1" l="1"/>
  <c r="S41" i="1"/>
  <c r="S42" i="1" s="1"/>
  <c r="R42" i="1"/>
  <c r="T41" i="1"/>
  <c r="T42" i="1" l="1"/>
</calcChain>
</file>

<file path=xl/sharedStrings.xml><?xml version="1.0" encoding="utf-8"?>
<sst xmlns="http://schemas.openxmlformats.org/spreadsheetml/2006/main" count="250" uniqueCount="102">
  <si>
    <t>N п/п</t>
  </si>
  <si>
    <t>Показатели</t>
  </si>
  <si>
    <t>Единица измерения</t>
  </si>
  <si>
    <t>Прогноз</t>
  </si>
  <si>
    <t>базовый вариант</t>
  </si>
  <si>
    <t>консервативный вариант</t>
  </si>
  <si>
    <t>целевой вариант</t>
  </si>
  <si>
    <t>тыс. человек</t>
  </si>
  <si>
    <t>Ожидаемая продолжительность жизни при рождении</t>
  </si>
  <si>
    <t>число лет</t>
  </si>
  <si>
    <t>Общий коэффициент рождаемости</t>
  </si>
  <si>
    <t>Общий коэффициент смертности</t>
  </si>
  <si>
    <t>Коэффициент естественного прироста населения</t>
  </si>
  <si>
    <t>Обрабатывающие производства</t>
  </si>
  <si>
    <t>млн. рублей</t>
  </si>
  <si>
    <t>Продукция сельского хозяйства</t>
  </si>
  <si>
    <t>млн рублей</t>
  </si>
  <si>
    <t>Индекс производства продукции сельского хозяйства</t>
  </si>
  <si>
    <t>Продукция сельского хозяйства в хозяйствах всех категории, в том числе: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</si>
  <si>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</si>
  <si>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</si>
  <si>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</si>
  <si>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</si>
  <si>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Оборот розничной торговли</t>
  </si>
  <si>
    <t>Объем платных услуг населению</t>
  </si>
  <si>
    <t>Индекс физического объема инвестиций в основной капитал</t>
  </si>
  <si>
    <t>Ввод в действие жилых домов</t>
  </si>
  <si>
    <t>тыс. кв. м общей площади</t>
  </si>
  <si>
    <t>в ценах соответствующих лет; млн. рублей</t>
  </si>
  <si>
    <t>II часть</t>
  </si>
  <si>
    <t>III часть</t>
  </si>
  <si>
    <t>2029 год</t>
  </si>
  <si>
    <t>2030 год</t>
  </si>
  <si>
    <t>2031 год</t>
  </si>
  <si>
    <t>2032 год</t>
  </si>
  <si>
    <t>2033 год</t>
  </si>
  <si>
    <t>2034 год</t>
  </si>
  <si>
    <t>2035 год</t>
  </si>
  <si>
    <t>1. Население</t>
  </si>
  <si>
    <t>Численность населения (среднегодовая)</t>
  </si>
  <si>
    <t>Все население (среднегодовая)</t>
  </si>
  <si>
    <t>число родившихся на 1 тыс. человек населения</t>
  </si>
  <si>
    <t>Миграционный прирост (убыль)</t>
  </si>
  <si>
    <t xml:space="preserve"> тыс. чел.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</si>
  <si>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</si>
  <si>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млн. руб.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</si>
  <si>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</si>
  <si>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 газом и паром; кондиционирование воздуха</t>
  </si>
  <si>
    <t>Темп роста отгрузки - РАЗДЕЛ D: Обеспечение электрической энергией газом и паром; кондиционирование воздуха</t>
  </si>
  <si>
    <t>%  к предыдущему году в действующих ценах</t>
  </si>
  <si>
    <t>2.4. Сельское хозяйство</t>
  </si>
  <si>
    <t>% к предыдущему году в сопоставимых ценах</t>
  </si>
  <si>
    <t>%  к предыдущему году в сопоставимых ценах</t>
  </si>
  <si>
    <t>Темп роста отгрузки - РАЗДЕЛ С: Обрабатывающие производства</t>
  </si>
  <si>
    <t>Структура оборота розничной торговли</t>
  </si>
  <si>
    <t>%</t>
  </si>
  <si>
    <t>Инвестиции в основной капитал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</si>
  <si>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</si>
  <si>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 xml:space="preserve">млн. руб. </t>
  </si>
  <si>
    <t>Индекс физического объема</t>
  </si>
  <si>
    <t>Реальные распологаемые денежные доходы населения</t>
  </si>
  <si>
    <t>% г/г</t>
  </si>
  <si>
    <t>Численность населения с денежными доходами ниже прожиточного минимума к общей численности населения</t>
  </si>
  <si>
    <t>Номинальная начисленная среднемесячная заработная плата работников организаций</t>
  </si>
  <si>
    <t>руб/мес</t>
  </si>
  <si>
    <t>Уровень зарегистрированной безработицы (на конец года)</t>
  </si>
  <si>
    <t>Общая численность безработных граждан</t>
  </si>
  <si>
    <t>тыс. чел.</t>
  </si>
  <si>
    <t>Численность безработных, зарегистрированных в  государственных учреждениях службы занятости населения (на конец года)</t>
  </si>
  <si>
    <t>Фонд заработной платы работников организаций</t>
  </si>
  <si>
    <t xml:space="preserve">млн.руб. </t>
  </si>
  <si>
    <t>Темп роста фонда заработной платы работников организаций</t>
  </si>
  <si>
    <t>Среднесписочная численность работников организаций (без внешних совместителей)</t>
  </si>
  <si>
    <t>Численность детей в дошкольных образовательных учреждениях</t>
  </si>
  <si>
    <t>чел.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</si>
  <si>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</si>
  <si>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</si>
  <si>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</si>
  <si>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</si>
  <si>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учреждениями культурно-досугового типа</t>
  </si>
  <si>
    <t>дошкольными образовательными учреждениями</t>
  </si>
  <si>
    <t>мест на 1000 детей в возрасте 1-6 лет</t>
  </si>
  <si>
    <t>число умерших на 1 тыс. человек населения</t>
  </si>
  <si>
    <t>на 1 тыс. человек  населения</t>
  </si>
  <si>
    <t>3. Торговля и услуги населению</t>
  </si>
  <si>
    <t>2028 год</t>
  </si>
  <si>
    <t>2. Производство товаров и услуг</t>
  </si>
  <si>
    <t>Оборот общественного питания</t>
  </si>
  <si>
    <t>4. Инвестиции и строительство</t>
  </si>
  <si>
    <t>5. Денежные доходы населения</t>
  </si>
  <si>
    <t>6. Труд и занятость</t>
  </si>
  <si>
    <t>Темп роста номинальной начисленной среднемесячная заработная плата работников организаций</t>
  </si>
  <si>
    <t>7. Развитие социальной сферы</t>
  </si>
  <si>
    <t>2024 год</t>
  </si>
  <si>
    <t>Отчет</t>
  </si>
  <si>
    <t>Оценка</t>
  </si>
  <si>
    <t>2023 год</t>
  </si>
  <si>
    <t>2036 год</t>
  </si>
  <si>
    <t>% к преды-дущему году в действую-щих ценах</t>
  </si>
  <si>
    <t>% к предыду-щему году в сопоставимых ценах</t>
  </si>
  <si>
    <t>учрежд. на 100 тыс. населения</t>
  </si>
  <si>
    <t>% к преды-дущему году в сопоставимых ценах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</si>
</sst>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;[Red]0.00"/>
    <numFmt numFmtId="165" formatCode="0.0"/>
    <numFmt numFmtId="166" formatCode="000000"/>
    <numFmt numFmtId="167" formatCode="#,##0.00\ _₽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Arial Cyr"/>
      <family val="2"/>
      <charset val="204"/>
    </font>
    <font>
      <sz val="1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sz val="11.5"/>
      <name val="Times New Roman"/>
      <family val="1"/>
      <charset val="204"/>
    </font>
    <font>
      <sz val="11.5"/>
      <color indexed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22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left" vertical="center" wrapText="1" shrinkToFit="1"/>
    </xf>
    <xf numFmtId="0" fontId="7" fillId="0" borderId="0" xfId="0" applyFont="1" applyAlignment="1">
      <alignment vertical="top"/>
    </xf>
    <xf numFmtId="0" fontId="6" fillId="0" borderId="1" xfId="0" applyFont="1" applyFill="1" applyBorder="1" applyAlignment="1">
      <alignment horizontal="left" vertical="center" wrapText="1" shrinkToFi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shrinkToFi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/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top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 applyBorder="1" applyAlignment="1" applyProtection="1">
      <alignment horizontal="center" vertical="top" wrapText="1"/>
      <protection locked="0"/>
    </xf>
    <xf numFmtId="0" fontId="8" fillId="0" borderId="0" xfId="0" applyFont="1" applyFill="1" applyBorder="1" applyAlignment="1">
      <alignment vertical="top"/>
    </xf>
    <xf numFmtId="2" fontId="1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Border="1" applyAlignment="1">
      <alignment vertical="top"/>
    </xf>
    <xf numFmtId="166" fontId="0" fillId="0" borderId="0" xfId="0" applyNumberFormat="1" applyAlignment="1">
      <alignment vertical="top"/>
    </xf>
    <xf numFmtId="2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 applyProtection="1">
      <alignment horizontal="center" vertical="top" wrapText="1"/>
      <protection locked="0"/>
    </xf>
    <xf numFmtId="4" fontId="3" fillId="0" borderId="1" xfId="0" applyNumberFormat="1" applyFont="1" applyFill="1" applyBorder="1" applyAlignment="1" applyProtection="1">
      <alignment horizontal="center" vertical="top" wrapText="1"/>
      <protection locked="0"/>
    </xf>
    <xf numFmtId="4" fontId="4" fillId="0" borderId="1" xfId="0" applyNumberFormat="1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center" vertical="top" wrapText="1"/>
      <protection locked="0"/>
    </xf>
    <xf numFmtId="2" fontId="1" fillId="0" borderId="1" xfId="0" applyNumberFormat="1" applyFont="1" applyFill="1" applyBorder="1" applyAlignment="1">
      <alignment horizontal="center" vertical="top"/>
    </xf>
    <xf numFmtId="2" fontId="3" fillId="0" borderId="1" xfId="0" applyNumberFormat="1" applyFont="1" applyFill="1" applyBorder="1" applyAlignment="1" applyProtection="1">
      <alignment horizontal="center" vertical="top" wrapText="1"/>
      <protection locked="0" hidden="1"/>
    </xf>
    <xf numFmtId="2" fontId="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2" fontId="6" fillId="2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 applyProtection="1">
      <alignment horizontal="left" vertical="center" wrapText="1" shrinkToFit="1"/>
    </xf>
    <xf numFmtId="0" fontId="14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 shrinkToFit="1"/>
    </xf>
    <xf numFmtId="0" fontId="15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 shrinkToFit="1"/>
    </xf>
    <xf numFmtId="0" fontId="14" fillId="0" borderId="1" xfId="0" applyFont="1" applyFill="1" applyBorder="1" applyAlignment="1">
      <alignment horizontal="center" vertical="center" wrapText="1" shrinkToFit="1"/>
    </xf>
    <xf numFmtId="0" fontId="16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 applyProtection="1">
      <alignment horizontal="center" vertical="top" wrapText="1"/>
      <protection locked="0"/>
    </xf>
    <xf numFmtId="2" fontId="1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 applyProtection="1">
      <alignment horizontal="center" vertical="top" wrapText="1"/>
      <protection locked="0"/>
    </xf>
    <xf numFmtId="4" fontId="1" fillId="0" borderId="1" xfId="0" applyNumberFormat="1" applyFont="1" applyFill="1" applyBorder="1" applyAlignment="1">
      <alignment horizontal="center" vertical="top"/>
    </xf>
    <xf numFmtId="167" fontId="11" fillId="0" borderId="1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/>
    </xf>
    <xf numFmtId="2" fontId="11" fillId="2" borderId="1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2" fontId="3" fillId="2" borderId="1" xfId="0" applyNumberFormat="1" applyFont="1" applyFill="1" applyBorder="1" applyAlignment="1" applyProtection="1">
      <alignment horizontal="center" vertical="top" wrapText="1"/>
      <protection locked="0"/>
    </xf>
    <xf numFmtId="4" fontId="1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 applyProtection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6"/>
  <sheetViews>
    <sheetView tabSelected="1" showWhiteSpace="0" topLeftCell="A16" zoomScale="80" zoomScaleNormal="80" workbookViewId="0">
      <selection activeCell="K76" sqref="K76"/>
    </sheetView>
  </sheetViews>
  <sheetFormatPr defaultRowHeight="15.75" x14ac:dyDescent="0.25"/>
  <cols>
    <col min="1" max="1" width="5.5703125" style="1" customWidth="1"/>
    <col min="2" max="2" width="31.42578125" style="1" customWidth="1"/>
    <col min="3" max="3" width="13.28515625" style="4" customWidth="1"/>
    <col min="4" max="4" width="11.85546875" style="5" customWidth="1"/>
    <col min="5" max="5" width="12.5703125" style="5" customWidth="1"/>
    <col min="6" max="6" width="13.7109375" style="5" customWidth="1"/>
    <col min="7" max="7" width="12.28515625" style="5" customWidth="1"/>
    <col min="8" max="8" width="12.7109375" style="5" customWidth="1"/>
    <col min="9" max="9" width="14.85546875" style="5" customWidth="1"/>
    <col min="10" max="10" width="13.7109375" style="5" customWidth="1"/>
    <col min="11" max="11" width="13.42578125" style="5" customWidth="1"/>
    <col min="12" max="12" width="12.85546875" style="5" customWidth="1"/>
    <col min="13" max="13" width="11.85546875" style="5" customWidth="1"/>
    <col min="14" max="14" width="13.28515625" style="5" customWidth="1"/>
    <col min="15" max="15" width="11.5703125" style="5" customWidth="1"/>
    <col min="16" max="16" width="12.140625" style="5" customWidth="1"/>
    <col min="17" max="17" width="12.85546875" style="5" customWidth="1"/>
    <col min="18" max="18" width="11.5703125" style="1" bestFit="1" customWidth="1"/>
    <col min="19" max="19" width="10.28515625" style="1" customWidth="1"/>
    <col min="20" max="20" width="12" style="1" customWidth="1"/>
    <col min="21" max="16384" width="9.140625" style="1"/>
  </cols>
  <sheetData>
    <row r="1" spans="1:23" s="6" customFormat="1" ht="26.25" x14ac:dyDescent="0.25">
      <c r="C1" s="7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23" s="2" customFormat="1" x14ac:dyDescent="0.25">
      <c r="A2" s="23"/>
      <c r="B2" s="23"/>
      <c r="C2" s="28"/>
      <c r="D2" s="5"/>
      <c r="E2" s="5"/>
      <c r="F2" s="5" t="s">
        <v>29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23" s="2" customFormat="1" x14ac:dyDescent="0.25">
      <c r="A3" s="23"/>
      <c r="B3" s="23"/>
      <c r="C3" s="28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23" s="2" customFormat="1" x14ac:dyDescent="0.25">
      <c r="A4" s="103" t="s">
        <v>0</v>
      </c>
      <c r="B4" s="103" t="s">
        <v>1</v>
      </c>
      <c r="C4" s="101" t="s">
        <v>2</v>
      </c>
      <c r="D4" s="10" t="s">
        <v>94</v>
      </c>
      <c r="E4" s="10" t="s">
        <v>95</v>
      </c>
      <c r="F4" s="101" t="s">
        <v>3</v>
      </c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</row>
    <row r="5" spans="1:23" s="2" customFormat="1" x14ac:dyDescent="0.25">
      <c r="A5" s="103"/>
      <c r="B5" s="103"/>
      <c r="C5" s="101"/>
      <c r="D5" s="101" t="s">
        <v>96</v>
      </c>
      <c r="E5" s="101" t="s">
        <v>93</v>
      </c>
      <c r="F5" s="101" t="s">
        <v>85</v>
      </c>
      <c r="G5" s="101"/>
      <c r="H5" s="101"/>
      <c r="I5" s="102" t="s">
        <v>31</v>
      </c>
      <c r="J5" s="102"/>
      <c r="K5" s="102"/>
      <c r="L5" s="102" t="s">
        <v>32</v>
      </c>
      <c r="M5" s="102"/>
      <c r="N5" s="102"/>
      <c r="O5" s="102" t="s">
        <v>33</v>
      </c>
      <c r="P5" s="102"/>
      <c r="Q5" s="102"/>
      <c r="R5" s="102" t="s">
        <v>34</v>
      </c>
      <c r="S5" s="102"/>
      <c r="T5" s="102"/>
    </row>
    <row r="6" spans="1:23" s="2" customFormat="1" ht="47.25" x14ac:dyDescent="0.25">
      <c r="A6" s="103"/>
      <c r="B6" s="103"/>
      <c r="C6" s="101"/>
      <c r="D6" s="101"/>
      <c r="E6" s="101"/>
      <c r="F6" s="12" t="s">
        <v>5</v>
      </c>
      <c r="G6" s="12" t="s">
        <v>4</v>
      </c>
      <c r="H6" s="10" t="s">
        <v>6</v>
      </c>
      <c r="I6" s="12" t="s">
        <v>5</v>
      </c>
      <c r="J6" s="12" t="s">
        <v>4</v>
      </c>
      <c r="K6" s="12" t="s">
        <v>6</v>
      </c>
      <c r="L6" s="12" t="s">
        <v>5</v>
      </c>
      <c r="M6" s="12" t="s">
        <v>4</v>
      </c>
      <c r="N6" s="12" t="s">
        <v>6</v>
      </c>
      <c r="O6" s="12" t="s">
        <v>5</v>
      </c>
      <c r="P6" s="12" t="s">
        <v>4</v>
      </c>
      <c r="Q6" s="12" t="s">
        <v>6</v>
      </c>
      <c r="R6" s="32" t="s">
        <v>5</v>
      </c>
      <c r="S6" s="32" t="s">
        <v>4</v>
      </c>
      <c r="T6" s="32" t="s">
        <v>6</v>
      </c>
    </row>
    <row r="7" spans="1:23" s="2" customFormat="1" x14ac:dyDescent="0.25">
      <c r="A7" s="3"/>
      <c r="B7" s="18" t="s">
        <v>38</v>
      </c>
      <c r="C7" s="40"/>
      <c r="D7" s="43"/>
      <c r="E7" s="43"/>
      <c r="F7" s="10"/>
      <c r="G7" s="10"/>
      <c r="H7" s="10"/>
      <c r="I7" s="13"/>
      <c r="J7" s="13"/>
      <c r="K7" s="13"/>
      <c r="L7" s="13"/>
      <c r="M7" s="13"/>
      <c r="N7" s="13"/>
      <c r="O7" s="11"/>
      <c r="P7" s="11"/>
      <c r="Q7" s="11"/>
      <c r="R7" s="33"/>
      <c r="S7" s="33"/>
      <c r="T7" s="33"/>
    </row>
    <row r="8" spans="1:23" s="2" customFormat="1" ht="28.5" x14ac:dyDescent="0.25">
      <c r="A8" s="39"/>
      <c r="B8" s="83" t="s">
        <v>39</v>
      </c>
      <c r="C8" s="84"/>
      <c r="D8" s="43"/>
      <c r="E8" s="43"/>
      <c r="F8" s="21"/>
      <c r="G8" s="21"/>
      <c r="H8" s="21"/>
      <c r="I8" s="13"/>
      <c r="J8" s="13"/>
      <c r="K8" s="13"/>
      <c r="L8" s="13"/>
      <c r="M8" s="13"/>
      <c r="N8" s="13"/>
      <c r="O8" s="11"/>
      <c r="P8" s="11"/>
      <c r="Q8" s="11"/>
      <c r="R8" s="33"/>
      <c r="S8" s="33"/>
      <c r="T8" s="33"/>
    </row>
    <row r="9" spans="1:23" s="2" customFormat="1" x14ac:dyDescent="0.25">
      <c r="A9" s="39">
        <v>1</v>
      </c>
      <c r="B9" s="85" t="s">
        <v>40</v>
      </c>
      <c r="C9" s="84" t="s">
        <v>7</v>
      </c>
      <c r="D9" s="43">
        <v>130.87</v>
      </c>
      <c r="E9" s="43">
        <v>130</v>
      </c>
      <c r="F9" s="66">
        <v>129.65</v>
      </c>
      <c r="G9" s="66">
        <v>129.65</v>
      </c>
      <c r="H9" s="66">
        <v>129.65</v>
      </c>
      <c r="I9" s="66">
        <v>129.6</v>
      </c>
      <c r="J9" s="66">
        <v>129.6</v>
      </c>
      <c r="K9" s="66">
        <v>129.6</v>
      </c>
      <c r="L9" s="66">
        <v>129.58000000000001</v>
      </c>
      <c r="M9" s="66">
        <v>129.58000000000001</v>
      </c>
      <c r="N9" s="66">
        <v>129.58000000000001</v>
      </c>
      <c r="O9" s="66">
        <v>129.5</v>
      </c>
      <c r="P9" s="66">
        <v>129.5</v>
      </c>
      <c r="Q9" s="66">
        <v>129.5</v>
      </c>
      <c r="R9" s="66">
        <v>129.47</v>
      </c>
      <c r="S9" s="66">
        <v>129.47</v>
      </c>
      <c r="T9" s="66">
        <v>129.47</v>
      </c>
    </row>
    <row r="10" spans="1:23" s="2" customFormat="1" ht="30.75" customHeight="1" x14ac:dyDescent="0.25">
      <c r="A10" s="39">
        <v>2</v>
      </c>
      <c r="B10" s="85" t="s">
        <v>8</v>
      </c>
      <c r="C10" s="84" t="s">
        <v>9</v>
      </c>
      <c r="D10" s="43">
        <v>74.239999999999995</v>
      </c>
      <c r="E10" s="43">
        <v>74.58</v>
      </c>
      <c r="F10" s="67">
        <v>75.58</v>
      </c>
      <c r="G10" s="67">
        <v>75.58</v>
      </c>
      <c r="H10" s="67">
        <v>75.58</v>
      </c>
      <c r="I10" s="67">
        <v>75.61</v>
      </c>
      <c r="J10" s="67">
        <v>75.61</v>
      </c>
      <c r="K10" s="67">
        <v>75.61</v>
      </c>
      <c r="L10" s="67">
        <v>75.64</v>
      </c>
      <c r="M10" s="67">
        <v>75.64</v>
      </c>
      <c r="N10" s="67">
        <v>75.64</v>
      </c>
      <c r="O10" s="67">
        <v>75.66</v>
      </c>
      <c r="P10" s="67">
        <v>75.66</v>
      </c>
      <c r="Q10" s="67">
        <v>75.66</v>
      </c>
      <c r="R10" s="67">
        <v>75.69</v>
      </c>
      <c r="S10" s="67">
        <v>75.69</v>
      </c>
      <c r="T10" s="67">
        <v>75.69</v>
      </c>
    </row>
    <row r="11" spans="1:23" s="2" customFormat="1" ht="75" x14ac:dyDescent="0.25">
      <c r="A11" s="39">
        <v>3</v>
      </c>
      <c r="B11" s="85" t="s">
        <v>10</v>
      </c>
      <c r="C11" s="84" t="s">
        <v>41</v>
      </c>
      <c r="D11" s="43">
        <v>8.6999999999999993</v>
      </c>
      <c r="E11" s="43">
        <v>9.8000000000000007</v>
      </c>
      <c r="F11" s="67">
        <v>9.48</v>
      </c>
      <c r="G11" s="67">
        <v>9.48</v>
      </c>
      <c r="H11" s="67">
        <v>9.48</v>
      </c>
      <c r="I11" s="67">
        <v>9.4700000000000006</v>
      </c>
      <c r="J11" s="67">
        <v>9.4700000000000006</v>
      </c>
      <c r="K11" s="67">
        <v>9.4700000000000006</v>
      </c>
      <c r="L11" s="67">
        <v>9.4700000000000006</v>
      </c>
      <c r="M11" s="67">
        <v>9.4700000000000006</v>
      </c>
      <c r="N11" s="67">
        <v>9.4700000000000006</v>
      </c>
      <c r="O11" s="67">
        <v>9.4600000000000009</v>
      </c>
      <c r="P11" s="67">
        <v>9.4600000000000009</v>
      </c>
      <c r="Q11" s="67">
        <v>9.4600000000000009</v>
      </c>
      <c r="R11" s="67">
        <v>9.4600000000000009</v>
      </c>
      <c r="S11" s="67">
        <v>9.4600000000000009</v>
      </c>
      <c r="T11" s="67">
        <v>9.4600000000000009</v>
      </c>
      <c r="W11" s="63"/>
    </row>
    <row r="12" spans="1:23" s="2" customFormat="1" ht="60" x14ac:dyDescent="0.25">
      <c r="A12" s="39">
        <v>4</v>
      </c>
      <c r="B12" s="85" t="s">
        <v>11</v>
      </c>
      <c r="C12" s="84" t="s">
        <v>82</v>
      </c>
      <c r="D12" s="43">
        <v>13</v>
      </c>
      <c r="E12" s="43">
        <v>12.8</v>
      </c>
      <c r="F12" s="67">
        <v>12.5</v>
      </c>
      <c r="G12" s="67">
        <v>12.5</v>
      </c>
      <c r="H12" s="67">
        <v>12.5</v>
      </c>
      <c r="I12" s="67">
        <v>12.47</v>
      </c>
      <c r="J12" s="67">
        <v>12.47</v>
      </c>
      <c r="K12" s="67">
        <v>12.47</v>
      </c>
      <c r="L12" s="67">
        <v>12.45</v>
      </c>
      <c r="M12" s="67">
        <v>12.45</v>
      </c>
      <c r="N12" s="67">
        <v>12.45</v>
      </c>
      <c r="O12" s="67">
        <v>12.45</v>
      </c>
      <c r="P12" s="67">
        <v>12.45</v>
      </c>
      <c r="Q12" s="67">
        <v>12.45</v>
      </c>
      <c r="R12" s="67">
        <v>12.43</v>
      </c>
      <c r="S12" s="67">
        <v>12.43</v>
      </c>
      <c r="T12" s="67">
        <v>12.43</v>
      </c>
    </row>
    <row r="13" spans="1:23" s="2" customFormat="1" ht="45" x14ac:dyDescent="0.25">
      <c r="A13" s="39">
        <v>5</v>
      </c>
      <c r="B13" s="85" t="s">
        <v>12</v>
      </c>
      <c r="C13" s="84" t="s">
        <v>83</v>
      </c>
      <c r="D13" s="43">
        <v>-0.56999999999999995</v>
      </c>
      <c r="E13" s="43">
        <v>-0.4</v>
      </c>
      <c r="F13" s="42">
        <v>-0.38</v>
      </c>
      <c r="G13" s="42">
        <v>-0.38</v>
      </c>
      <c r="H13" s="42">
        <v>-0.38</v>
      </c>
      <c r="I13" s="42">
        <v>-0.37</v>
      </c>
      <c r="J13" s="42">
        <v>-0.37</v>
      </c>
      <c r="K13" s="42">
        <v>-0.37</v>
      </c>
      <c r="L13" s="42">
        <v>-0.37</v>
      </c>
      <c r="M13" s="42">
        <v>-0.37</v>
      </c>
      <c r="N13" s="42">
        <v>-0.37</v>
      </c>
      <c r="O13" s="42">
        <v>-0.36</v>
      </c>
      <c r="P13" s="42">
        <v>-0.36</v>
      </c>
      <c r="Q13" s="42">
        <v>-0.36</v>
      </c>
      <c r="R13" s="42">
        <v>-0.36</v>
      </c>
      <c r="S13" s="42">
        <v>-0.36</v>
      </c>
      <c r="T13" s="42">
        <v>-0.36</v>
      </c>
    </row>
    <row r="14" spans="1:23" s="2" customFormat="1" x14ac:dyDescent="0.25">
      <c r="A14" s="39">
        <v>6</v>
      </c>
      <c r="B14" s="86" t="s">
        <v>42</v>
      </c>
      <c r="C14" s="87" t="s">
        <v>43</v>
      </c>
      <c r="D14" s="43">
        <v>-0.27</v>
      </c>
      <c r="E14" s="43">
        <v>-0.42</v>
      </c>
      <c r="F14" s="42">
        <v>-0.28000000000000003</v>
      </c>
      <c r="G14" s="42">
        <v>-0.28000000000000003</v>
      </c>
      <c r="H14" s="42">
        <v>-0.28000000000000003</v>
      </c>
      <c r="I14" s="42">
        <v>-0.27</v>
      </c>
      <c r="J14" s="42">
        <v>-0.27</v>
      </c>
      <c r="K14" s="42">
        <v>-0.27</v>
      </c>
      <c r="L14" s="42">
        <v>-0.27</v>
      </c>
      <c r="M14" s="42">
        <v>-0.27</v>
      </c>
      <c r="N14" s="42">
        <v>-0.27</v>
      </c>
      <c r="O14" s="42">
        <v>-0.26</v>
      </c>
      <c r="P14" s="42">
        <v>-0.26</v>
      </c>
      <c r="Q14" s="42">
        <v>-0.26</v>
      </c>
      <c r="R14" s="42">
        <v>-0.26</v>
      </c>
      <c r="S14" s="42">
        <v>-0.26</v>
      </c>
      <c r="T14" s="42">
        <v>-0.26</v>
      </c>
    </row>
    <row r="15" spans="1:23" s="37" customFormat="1" ht="28.5" x14ac:dyDescent="0.25">
      <c r="A15" s="15"/>
      <c r="B15" s="88" t="s">
        <v>86</v>
      </c>
      <c r="C15" s="87"/>
      <c r="D15" s="43"/>
      <c r="E15" s="43"/>
      <c r="F15" s="35"/>
      <c r="G15" s="35"/>
      <c r="H15" s="35"/>
      <c r="I15" s="35"/>
      <c r="J15" s="35"/>
      <c r="K15" s="35"/>
      <c r="L15" s="69"/>
      <c r="M15" s="69"/>
      <c r="N15" s="69"/>
      <c r="O15" s="69"/>
      <c r="P15" s="69"/>
      <c r="Q15" s="69"/>
      <c r="R15" s="69"/>
      <c r="S15" s="69"/>
      <c r="T15" s="69"/>
    </row>
    <row r="16" spans="1:23" s="37" customFormat="1" ht="28.5" x14ac:dyDescent="0.25">
      <c r="A16" s="15"/>
      <c r="B16" s="88" t="s">
        <v>13</v>
      </c>
      <c r="C16" s="87"/>
      <c r="D16" s="43"/>
      <c r="E16" s="43"/>
      <c r="F16" s="35"/>
      <c r="G16" s="35"/>
      <c r="H16" s="35"/>
      <c r="I16" s="35"/>
      <c r="J16" s="35"/>
      <c r="K16" s="35"/>
      <c r="L16" s="69"/>
      <c r="M16" s="69"/>
      <c r="N16" s="69"/>
      <c r="O16" s="69"/>
      <c r="P16" s="69"/>
      <c r="Q16" s="69"/>
      <c r="R16" s="69"/>
      <c r="S16" s="69"/>
      <c r="T16" s="69"/>
    </row>
    <row r="17" spans="1:20" s="2" customFormat="1" ht="89.25" customHeight="1" x14ac:dyDescent="0.25">
      <c r="A17" s="39">
        <v>7</v>
      </c>
      <c r="B17" s="85" t="s">
        <v>44</v>
      </c>
      <c r="C17" s="84" t="s">
        <v>45</v>
      </c>
      <c r="D17" s="64">
        <v>23977.040000000001</v>
      </c>
      <c r="E17" s="65">
        <v>26182.93</v>
      </c>
      <c r="F17" s="67">
        <f>SUM(29706.17*F18/100)</f>
        <v>31072.653819999996</v>
      </c>
      <c r="G17" s="67">
        <f>SUM(29761.19*G18/100)</f>
        <v>31130.204739999994</v>
      </c>
      <c r="H17" s="67">
        <f>SUM(29761.19*H18/100)</f>
        <v>31130.204739999994</v>
      </c>
      <c r="I17" s="68">
        <f>SUM(F17*I18/100)</f>
        <v>32501.995895719992</v>
      </c>
      <c r="J17" s="68">
        <f>SUM(G17*J18/100)</f>
        <v>32562.194158039991</v>
      </c>
      <c r="K17" s="68">
        <f>SUM(H17*K18/100)</f>
        <v>32562.194158039991</v>
      </c>
      <c r="L17" s="68">
        <f t="shared" ref="L17:T17" si="0">SUM(I17*L18/100)</f>
        <v>33964.585711027394</v>
      </c>
      <c r="M17" s="68">
        <f t="shared" si="0"/>
        <v>34060.055089309833</v>
      </c>
      <c r="N17" s="68">
        <f t="shared" si="0"/>
        <v>34060.055089309833</v>
      </c>
      <c r="O17" s="68">
        <f t="shared" si="0"/>
        <v>35492.992068023625</v>
      </c>
      <c r="P17" s="68">
        <f t="shared" si="0"/>
        <v>35592.75756832878</v>
      </c>
      <c r="Q17" s="68">
        <f t="shared" si="0"/>
        <v>35592.75756832878</v>
      </c>
      <c r="R17" s="68">
        <f t="shared" si="0"/>
        <v>37090.176711084692</v>
      </c>
      <c r="S17" s="68">
        <f t="shared" si="0"/>
        <v>37194.431658903573</v>
      </c>
      <c r="T17" s="68">
        <f t="shared" si="0"/>
        <v>37194.431658903573</v>
      </c>
    </row>
    <row r="18" spans="1:20" s="2" customFormat="1" ht="60" x14ac:dyDescent="0.25">
      <c r="A18" s="39">
        <v>8</v>
      </c>
      <c r="B18" s="86" t="s">
        <v>53</v>
      </c>
      <c r="C18" s="87" t="s">
        <v>98</v>
      </c>
      <c r="D18" s="65">
        <v>122.73</v>
      </c>
      <c r="E18" s="65">
        <v>109.2</v>
      </c>
      <c r="F18" s="67">
        <v>104.6</v>
      </c>
      <c r="G18" s="68">
        <v>104.6</v>
      </c>
      <c r="H18" s="68">
        <v>104.6</v>
      </c>
      <c r="I18" s="68">
        <v>104.6</v>
      </c>
      <c r="J18" s="68">
        <v>104.6</v>
      </c>
      <c r="K18" s="68">
        <v>104.6</v>
      </c>
      <c r="L18" s="69">
        <v>104.5</v>
      </c>
      <c r="M18" s="69">
        <v>104.6</v>
      </c>
      <c r="N18" s="69">
        <v>104.6</v>
      </c>
      <c r="O18" s="69">
        <v>104.5</v>
      </c>
      <c r="P18" s="69">
        <v>104.5</v>
      </c>
      <c r="Q18" s="69">
        <v>104.5</v>
      </c>
      <c r="R18" s="69">
        <v>104.5</v>
      </c>
      <c r="S18" s="69">
        <v>104.5</v>
      </c>
      <c r="T18" s="69">
        <v>104.5</v>
      </c>
    </row>
    <row r="19" spans="1:20" s="37" customFormat="1" ht="43.5" customHeight="1" x14ac:dyDescent="0.25">
      <c r="A19" s="36"/>
      <c r="B19" s="88" t="s">
        <v>46</v>
      </c>
      <c r="C19" s="87"/>
      <c r="D19" s="43"/>
      <c r="E19" s="43"/>
      <c r="F19" s="35"/>
      <c r="G19" s="35"/>
      <c r="H19" s="35"/>
      <c r="I19" s="35"/>
      <c r="J19" s="35"/>
      <c r="K19" s="35"/>
      <c r="L19" s="69"/>
      <c r="M19" s="69"/>
      <c r="N19" s="69"/>
      <c r="O19" s="69"/>
      <c r="P19" s="69"/>
      <c r="Q19" s="69"/>
      <c r="R19" s="69"/>
      <c r="S19" s="69"/>
      <c r="T19" s="69"/>
    </row>
    <row r="20" spans="1:20" s="2" customFormat="1" ht="108" customHeight="1" x14ac:dyDescent="0.25">
      <c r="A20" s="39">
        <v>9</v>
      </c>
      <c r="B20" s="86" t="s">
        <v>47</v>
      </c>
      <c r="C20" s="87" t="s">
        <v>14</v>
      </c>
      <c r="D20" s="65">
        <v>1246.8699999999999</v>
      </c>
      <c r="E20" s="65">
        <v>1317.94</v>
      </c>
      <c r="F20" s="67">
        <f>SUM(1553.41*F21/100)</f>
        <v>1613.9929900000002</v>
      </c>
      <c r="G20" s="67">
        <f t="shared" ref="G20:H20" si="1">SUM(1553.41*G21/100)</f>
        <v>1613.9929900000002</v>
      </c>
      <c r="H20" s="67">
        <f t="shared" si="1"/>
        <v>1613.9929900000002</v>
      </c>
      <c r="I20" s="68">
        <f>SUM(F20*I21/100)</f>
        <v>1676.9387166100005</v>
      </c>
      <c r="J20" s="68">
        <f t="shared" ref="J20:T20" si="2">SUM(G20*J21/100)</f>
        <v>1676.9387166100005</v>
      </c>
      <c r="K20" s="68">
        <f t="shared" si="2"/>
        <v>1676.9387166100005</v>
      </c>
      <c r="L20" s="68">
        <f t="shared" si="2"/>
        <v>1742.3393265577906</v>
      </c>
      <c r="M20" s="68">
        <f t="shared" si="2"/>
        <v>1742.3393265577906</v>
      </c>
      <c r="N20" s="68">
        <f t="shared" si="2"/>
        <v>1742.3393265577906</v>
      </c>
      <c r="O20" s="68">
        <f t="shared" si="2"/>
        <v>1810.2905602935446</v>
      </c>
      <c r="P20" s="68">
        <f t="shared" si="2"/>
        <v>1810.2905602935446</v>
      </c>
      <c r="Q20" s="68">
        <f t="shared" si="2"/>
        <v>1810.2905602935446</v>
      </c>
      <c r="R20" s="68">
        <f t="shared" si="2"/>
        <v>1880.8918921449929</v>
      </c>
      <c r="S20" s="68">
        <f t="shared" si="2"/>
        <v>1880.8918921449929</v>
      </c>
      <c r="T20" s="68">
        <f t="shared" si="2"/>
        <v>1880.8918921449929</v>
      </c>
    </row>
    <row r="21" spans="1:20" s="2" customFormat="1" ht="81" customHeight="1" x14ac:dyDescent="0.25">
      <c r="A21" s="39">
        <v>10</v>
      </c>
      <c r="B21" s="86" t="s">
        <v>48</v>
      </c>
      <c r="C21" s="87" t="s">
        <v>49</v>
      </c>
      <c r="D21" s="65">
        <v>113.32</v>
      </c>
      <c r="E21" s="65">
        <v>105.7</v>
      </c>
      <c r="F21" s="67">
        <v>103.9</v>
      </c>
      <c r="G21" s="68">
        <v>103.9</v>
      </c>
      <c r="H21" s="68">
        <v>103.9</v>
      </c>
      <c r="I21" s="68">
        <v>103.9</v>
      </c>
      <c r="J21" s="68">
        <v>103.9</v>
      </c>
      <c r="K21" s="68">
        <v>103.9</v>
      </c>
      <c r="L21" s="69">
        <v>103.9</v>
      </c>
      <c r="M21" s="69">
        <v>103.9</v>
      </c>
      <c r="N21" s="69">
        <v>103.9</v>
      </c>
      <c r="O21" s="69">
        <v>103.9</v>
      </c>
      <c r="P21" s="69">
        <v>103.9</v>
      </c>
      <c r="Q21" s="69">
        <v>103.9</v>
      </c>
      <c r="R21" s="69">
        <v>103.9</v>
      </c>
      <c r="S21" s="69">
        <v>103.9</v>
      </c>
      <c r="T21" s="69">
        <v>103.9</v>
      </c>
    </row>
    <row r="22" spans="1:20" s="37" customFormat="1" x14ac:dyDescent="0.25">
      <c r="A22" s="15"/>
      <c r="B22" s="88" t="s">
        <v>50</v>
      </c>
      <c r="C22" s="87"/>
      <c r="D22" s="43"/>
      <c r="E22" s="43"/>
      <c r="F22" s="35"/>
      <c r="G22" s="35"/>
      <c r="H22" s="35"/>
      <c r="I22" s="35"/>
      <c r="J22" s="35"/>
      <c r="K22" s="35"/>
      <c r="L22" s="69"/>
      <c r="M22" s="69"/>
      <c r="N22" s="69"/>
      <c r="O22" s="69"/>
      <c r="P22" s="69"/>
      <c r="Q22" s="69"/>
      <c r="R22" s="69"/>
      <c r="S22" s="69"/>
      <c r="T22" s="69"/>
    </row>
    <row r="23" spans="1:20" s="2" customFormat="1" x14ac:dyDescent="0.25">
      <c r="A23" s="39">
        <v>11</v>
      </c>
      <c r="B23" s="85" t="s">
        <v>15</v>
      </c>
      <c r="C23" s="84" t="s">
        <v>16</v>
      </c>
      <c r="D23" s="107">
        <v>6749.1</v>
      </c>
      <c r="E23" s="107">
        <v>6715</v>
      </c>
      <c r="F23" s="67">
        <f>F26+F28</f>
        <v>8137.4592000000011</v>
      </c>
      <c r="G23" s="67">
        <f t="shared" ref="G23:T23" si="3">G26+G28</f>
        <v>8090.6198999999997</v>
      </c>
      <c r="H23" s="67">
        <f t="shared" si="3"/>
        <v>8090.6303500000004</v>
      </c>
      <c r="I23" s="67">
        <f t="shared" si="3"/>
        <v>8462.9575680000016</v>
      </c>
      <c r="J23" s="67">
        <f t="shared" si="3"/>
        <v>8462.7884154000003</v>
      </c>
      <c r="K23" s="67">
        <f t="shared" si="3"/>
        <v>8462.7993461000005</v>
      </c>
      <c r="L23" s="67">
        <f t="shared" si="3"/>
        <v>8801.4758707200017</v>
      </c>
      <c r="M23" s="67">
        <f t="shared" si="3"/>
        <v>8860.5394709238008</v>
      </c>
      <c r="N23" s="67">
        <f t="shared" si="3"/>
        <v>8860.5509153667008</v>
      </c>
      <c r="O23" s="67">
        <f t="shared" si="3"/>
        <v>9162.33638141952</v>
      </c>
      <c r="P23" s="67">
        <f t="shared" si="3"/>
        <v>9268.1242865862951</v>
      </c>
      <c r="Q23" s="67">
        <f t="shared" si="3"/>
        <v>9268.1362574735685</v>
      </c>
      <c r="R23" s="67">
        <f t="shared" si="3"/>
        <v>9537.9921730577207</v>
      </c>
      <c r="S23" s="67">
        <f t="shared" si="3"/>
        <v>9694.4580037692649</v>
      </c>
      <c r="T23" s="67">
        <f t="shared" si="3"/>
        <v>9694.4705253173543</v>
      </c>
    </row>
    <row r="24" spans="1:20" s="2" customFormat="1" ht="60" x14ac:dyDescent="0.25">
      <c r="A24" s="39">
        <v>12</v>
      </c>
      <c r="B24" s="85" t="s">
        <v>17</v>
      </c>
      <c r="C24" s="84" t="s">
        <v>99</v>
      </c>
      <c r="D24" s="107">
        <v>132.63999999999999</v>
      </c>
      <c r="E24" s="107">
        <f>E23/D23/107.6*10000</f>
        <v>92.467237405025884</v>
      </c>
      <c r="F24" s="67">
        <v>100</v>
      </c>
      <c r="G24" s="67">
        <v>100</v>
      </c>
      <c r="H24" s="67">
        <v>100</v>
      </c>
      <c r="I24" s="67">
        <v>100</v>
      </c>
      <c r="J24" s="67">
        <v>100</v>
      </c>
      <c r="K24" s="67">
        <v>100</v>
      </c>
      <c r="L24" s="67">
        <v>100</v>
      </c>
      <c r="M24" s="67">
        <v>100</v>
      </c>
      <c r="N24" s="67">
        <v>100</v>
      </c>
      <c r="O24" s="67">
        <v>100</v>
      </c>
      <c r="P24" s="67">
        <v>100</v>
      </c>
      <c r="Q24" s="67">
        <v>100</v>
      </c>
      <c r="R24" s="67">
        <v>100</v>
      </c>
      <c r="S24" s="67">
        <v>100</v>
      </c>
      <c r="T24" s="67">
        <v>100</v>
      </c>
    </row>
    <row r="25" spans="1:20" s="2" customFormat="1" ht="48.75" customHeight="1" x14ac:dyDescent="0.25">
      <c r="A25" s="15"/>
      <c r="B25" s="86" t="s">
        <v>18</v>
      </c>
      <c r="C25" s="87"/>
      <c r="D25" s="107"/>
      <c r="E25" s="107"/>
      <c r="F25" s="67"/>
      <c r="G25" s="67"/>
      <c r="H25" s="67"/>
      <c r="I25" s="67"/>
      <c r="J25" s="67"/>
      <c r="K25" s="67"/>
      <c r="L25" s="72"/>
      <c r="M25" s="72"/>
      <c r="N25" s="72"/>
      <c r="O25" s="72"/>
      <c r="P25" s="72"/>
      <c r="Q25" s="72"/>
      <c r="R25" s="72"/>
      <c r="S25" s="72"/>
      <c r="T25" s="72"/>
    </row>
    <row r="26" spans="1:20" s="2" customFormat="1" x14ac:dyDescent="0.25">
      <c r="A26" s="39">
        <v>13</v>
      </c>
      <c r="B26" s="85" t="s">
        <v>19</v>
      </c>
      <c r="C26" s="84" t="s">
        <v>16</v>
      </c>
      <c r="D26" s="107">
        <v>6188.8</v>
      </c>
      <c r="E26" s="107">
        <v>6170</v>
      </c>
      <c r="F26" s="108">
        <v>7498.6704000000009</v>
      </c>
      <c r="G26" s="108">
        <v>7448.77045</v>
      </c>
      <c r="H26" s="108">
        <v>7448.77045</v>
      </c>
      <c r="I26" s="108">
        <f>F26*104%</f>
        <v>7798.6172160000015</v>
      </c>
      <c r="J26" s="108">
        <f>G26*104.6%</f>
        <v>7791.4138907000006</v>
      </c>
      <c r="K26" s="108">
        <f>H26*104.6%</f>
        <v>7791.4138907000006</v>
      </c>
      <c r="L26" s="109">
        <f>I26*104%</f>
        <v>8110.5619046400016</v>
      </c>
      <c r="M26" s="109">
        <f>J26*104.7%</f>
        <v>8157.6103435629002</v>
      </c>
      <c r="N26" s="109">
        <f>K26*104.7%</f>
        <v>8157.6103435629002</v>
      </c>
      <c r="O26" s="109">
        <f>L26*104.1%</f>
        <v>8443.0949427302403</v>
      </c>
      <c r="P26" s="109">
        <f>M26*104.6%</f>
        <v>8532.8604193667943</v>
      </c>
      <c r="Q26" s="109">
        <f>N26*104.6%</f>
        <v>8532.8604193667943</v>
      </c>
      <c r="R26" s="109">
        <f>O26*104.1%</f>
        <v>8789.2618353821799</v>
      </c>
      <c r="S26" s="72">
        <f>P26*104.6%</f>
        <v>8925.3719986576671</v>
      </c>
      <c r="T26" s="72">
        <f>Q26*104.6%</f>
        <v>8925.3719986576671</v>
      </c>
    </row>
    <row r="27" spans="1:20" s="2" customFormat="1" ht="60" x14ac:dyDescent="0.25">
      <c r="A27" s="39">
        <v>14</v>
      </c>
      <c r="B27" s="85" t="s">
        <v>20</v>
      </c>
      <c r="C27" s="84" t="s">
        <v>99</v>
      </c>
      <c r="D27" s="107">
        <v>147.51</v>
      </c>
      <c r="E27" s="107">
        <f>E26/D26/105.5*10000</f>
        <v>94.498791885785408</v>
      </c>
      <c r="F27" s="108">
        <v>100</v>
      </c>
      <c r="G27" s="108">
        <v>100</v>
      </c>
      <c r="H27" s="108">
        <v>100</v>
      </c>
      <c r="I27" s="108">
        <v>100</v>
      </c>
      <c r="J27" s="108">
        <v>100</v>
      </c>
      <c r="K27" s="108">
        <v>100</v>
      </c>
      <c r="L27" s="108">
        <v>100</v>
      </c>
      <c r="M27" s="108">
        <v>100</v>
      </c>
      <c r="N27" s="108">
        <v>100</v>
      </c>
      <c r="O27" s="108">
        <v>100</v>
      </c>
      <c r="P27" s="108">
        <v>100</v>
      </c>
      <c r="Q27" s="108">
        <v>100</v>
      </c>
      <c r="R27" s="108">
        <v>100</v>
      </c>
      <c r="S27" s="67">
        <v>100</v>
      </c>
      <c r="T27" s="67">
        <v>100</v>
      </c>
    </row>
    <row r="28" spans="1:20" s="2" customFormat="1" x14ac:dyDescent="0.25">
      <c r="A28" s="39">
        <v>15</v>
      </c>
      <c r="B28" s="85" t="s">
        <v>21</v>
      </c>
      <c r="C28" s="84" t="s">
        <v>16</v>
      </c>
      <c r="D28" s="107">
        <v>560.32000000000005</v>
      </c>
      <c r="E28" s="107">
        <v>545</v>
      </c>
      <c r="F28" s="108">
        <v>638.78880000000004</v>
      </c>
      <c r="G28" s="110">
        <v>641.84945000000005</v>
      </c>
      <c r="H28" s="110">
        <v>641.85990000000004</v>
      </c>
      <c r="I28" s="108">
        <f>F28*104%</f>
        <v>664.34035200000005</v>
      </c>
      <c r="J28" s="108">
        <f>G28*104.6%</f>
        <v>671.37452470000005</v>
      </c>
      <c r="K28" s="108">
        <f>H28*104.6%</f>
        <v>671.38545540000007</v>
      </c>
      <c r="L28" s="109">
        <f>I28*104%</f>
        <v>690.91396608000002</v>
      </c>
      <c r="M28" s="109">
        <f>J28*104.7%</f>
        <v>702.9291273609</v>
      </c>
      <c r="N28" s="109">
        <f>K28*104.7%</f>
        <v>702.94057180380003</v>
      </c>
      <c r="O28" s="109">
        <f>L28*104.1%</f>
        <v>719.24143868928002</v>
      </c>
      <c r="P28" s="109">
        <f>M28*104.6%</f>
        <v>735.26386721950144</v>
      </c>
      <c r="Q28" s="109">
        <f>N28*104.6%</f>
        <v>735.27583810677481</v>
      </c>
      <c r="R28" s="109">
        <f>O28*104.1%</f>
        <v>748.73033767554045</v>
      </c>
      <c r="S28" s="72">
        <f>P28*104.6%</f>
        <v>769.08600511159852</v>
      </c>
      <c r="T28" s="72">
        <f>Q28*104.6%</f>
        <v>769.09852665968651</v>
      </c>
    </row>
    <row r="29" spans="1:20" s="2" customFormat="1" ht="60" x14ac:dyDescent="0.25">
      <c r="A29" s="39">
        <v>16</v>
      </c>
      <c r="B29" s="85" t="s">
        <v>22</v>
      </c>
      <c r="C29" s="84" t="s">
        <v>99</v>
      </c>
      <c r="D29" s="107">
        <v>81.77</v>
      </c>
      <c r="E29" s="107">
        <f>E28/D28/110.2*10000</f>
        <v>88.263020042475063</v>
      </c>
      <c r="F29" s="108">
        <v>100</v>
      </c>
      <c r="G29" s="108">
        <v>100</v>
      </c>
      <c r="H29" s="108">
        <v>100</v>
      </c>
      <c r="I29" s="108">
        <v>100</v>
      </c>
      <c r="J29" s="108">
        <v>100</v>
      </c>
      <c r="K29" s="108">
        <v>100</v>
      </c>
      <c r="L29" s="108">
        <v>100</v>
      </c>
      <c r="M29" s="108">
        <v>100</v>
      </c>
      <c r="N29" s="108">
        <v>100</v>
      </c>
      <c r="O29" s="108">
        <v>100</v>
      </c>
      <c r="P29" s="108">
        <v>100</v>
      </c>
      <c r="Q29" s="108">
        <v>100</v>
      </c>
      <c r="R29" s="108">
        <v>100</v>
      </c>
      <c r="S29" s="67">
        <v>100</v>
      </c>
      <c r="T29" s="67">
        <v>100</v>
      </c>
    </row>
    <row r="30" spans="1:20" s="2" customFormat="1" ht="28.5" x14ac:dyDescent="0.25">
      <c r="A30" s="15"/>
      <c r="B30" s="88" t="s">
        <v>84</v>
      </c>
      <c r="C30" s="87"/>
      <c r="D30" s="43"/>
      <c r="E30" s="43"/>
      <c r="F30" s="35"/>
      <c r="G30" s="67"/>
      <c r="H30" s="67"/>
      <c r="I30" s="67"/>
      <c r="J30" s="67"/>
      <c r="K30" s="67"/>
      <c r="L30" s="69"/>
      <c r="M30" s="69"/>
      <c r="N30" s="69"/>
      <c r="O30" s="69"/>
      <c r="P30" s="69"/>
      <c r="Q30" s="69"/>
      <c r="R30" s="69"/>
      <c r="S30" s="69"/>
      <c r="T30" s="69"/>
    </row>
    <row r="31" spans="1:20" s="2" customFormat="1" ht="60" x14ac:dyDescent="0.25">
      <c r="A31" s="39">
        <v>17</v>
      </c>
      <c r="B31" s="85" t="s">
        <v>23</v>
      </c>
      <c r="C31" s="84" t="s">
        <v>28</v>
      </c>
      <c r="D31" s="65">
        <v>22679.919999999998</v>
      </c>
      <c r="E31" s="65">
        <v>24494.31</v>
      </c>
      <c r="F31" s="66">
        <f>SUM(28327.09*F37/100)</f>
        <v>29148.575610000004</v>
      </c>
      <c r="G31" s="66">
        <f>SUM(28111.55*G32/100)</f>
        <v>28898.6734</v>
      </c>
      <c r="H31" s="70">
        <f>SUM(28111.55*H32/100)</f>
        <v>28898.6734</v>
      </c>
      <c r="I31" s="68">
        <f>SUM(F31*I32/100)</f>
        <v>29964.735727080006</v>
      </c>
      <c r="J31" s="68">
        <f>SUM(G31*J32/100)</f>
        <v>29707.836255199996</v>
      </c>
      <c r="K31" s="68">
        <f>SUM(H31*K32/100)</f>
        <v>29707.836255199996</v>
      </c>
      <c r="L31" s="68">
        <f t="shared" ref="L31:T31" si="4">SUM(I31*L32/100)</f>
        <v>30833.713063165327</v>
      </c>
      <c r="M31" s="68">
        <f t="shared" si="4"/>
        <v>30569.363506600796</v>
      </c>
      <c r="N31" s="68">
        <f t="shared" si="4"/>
        <v>30569.363506600796</v>
      </c>
      <c r="O31" s="68">
        <f t="shared" si="4"/>
        <v>31727.890741997122</v>
      </c>
      <c r="P31" s="68">
        <f t="shared" si="4"/>
        <v>31455.875048292219</v>
      </c>
      <c r="Q31" s="68">
        <f t="shared" si="4"/>
        <v>31455.875048292219</v>
      </c>
      <c r="R31" s="68">
        <f t="shared" si="4"/>
        <v>32647.999573515041</v>
      </c>
      <c r="S31" s="68">
        <f t="shared" si="4"/>
        <v>32368.095424692696</v>
      </c>
      <c r="T31" s="68">
        <f t="shared" si="4"/>
        <v>32368.095424692696</v>
      </c>
    </row>
    <row r="32" spans="1:20" s="2" customFormat="1" ht="60" x14ac:dyDescent="0.25">
      <c r="A32" s="39">
        <v>18</v>
      </c>
      <c r="B32" s="85" t="s">
        <v>23</v>
      </c>
      <c r="C32" s="84" t="s">
        <v>99</v>
      </c>
      <c r="D32" s="65">
        <v>147</v>
      </c>
      <c r="E32" s="65">
        <v>108</v>
      </c>
      <c r="F32" s="66">
        <v>102.8</v>
      </c>
      <c r="G32" s="35">
        <v>102.8</v>
      </c>
      <c r="H32" s="35">
        <v>102.8</v>
      </c>
      <c r="I32" s="35">
        <v>102.8</v>
      </c>
      <c r="J32" s="35">
        <v>102.8</v>
      </c>
      <c r="K32" s="35">
        <v>102.8</v>
      </c>
      <c r="L32" s="69">
        <v>102.9</v>
      </c>
      <c r="M32" s="69">
        <v>102.9</v>
      </c>
      <c r="N32" s="69">
        <v>102.9</v>
      </c>
      <c r="O32" s="69">
        <v>102.9</v>
      </c>
      <c r="P32" s="69">
        <v>102.9</v>
      </c>
      <c r="Q32" s="69">
        <v>102.9</v>
      </c>
      <c r="R32" s="69">
        <v>102.9</v>
      </c>
      <c r="S32" s="69">
        <v>102.9</v>
      </c>
      <c r="T32" s="69">
        <v>102.9</v>
      </c>
    </row>
    <row r="33" spans="1:20" s="2" customFormat="1" x14ac:dyDescent="0.25">
      <c r="A33" s="39">
        <v>19</v>
      </c>
      <c r="B33" s="85" t="s">
        <v>87</v>
      </c>
      <c r="C33" s="84" t="s">
        <v>16</v>
      </c>
      <c r="D33" s="99">
        <v>609.54999999999995</v>
      </c>
      <c r="E33" s="74">
        <f>SUM(D33*E34/100)</f>
        <v>658.31399999999996</v>
      </c>
      <c r="F33" s="66">
        <f>SUM(761.32*F34/100)</f>
        <v>782.63695999999993</v>
      </c>
      <c r="G33" s="67">
        <f>SUM(755.53*G34/100)</f>
        <v>776.68484000000001</v>
      </c>
      <c r="H33" s="67">
        <f>SUM(755.53*H34/100)</f>
        <v>776.68484000000001</v>
      </c>
      <c r="I33" s="67">
        <f>SUM(F33*I34/100)</f>
        <v>804.5507948799999</v>
      </c>
      <c r="J33" s="67">
        <f>SUM(G33*J34/100)</f>
        <v>798.43201551999994</v>
      </c>
      <c r="K33" s="67">
        <f>SUM(H33*K34/100)</f>
        <v>798.43201551999994</v>
      </c>
      <c r="L33" s="67">
        <f t="shared" ref="L33:T33" si="5">SUM(I33*L34/100)</f>
        <v>827.88276793151988</v>
      </c>
      <c r="M33" s="67">
        <f t="shared" si="5"/>
        <v>821.5865439700799</v>
      </c>
      <c r="N33" s="67">
        <f t="shared" si="5"/>
        <v>821.5865439700799</v>
      </c>
      <c r="O33" s="67">
        <f t="shared" si="5"/>
        <v>851.89136820153408</v>
      </c>
      <c r="P33" s="67">
        <f t="shared" si="5"/>
        <v>845.41255374521222</v>
      </c>
      <c r="Q33" s="67">
        <f t="shared" si="5"/>
        <v>845.41255374521222</v>
      </c>
      <c r="R33" s="67">
        <f t="shared" si="5"/>
        <v>876.59621787937863</v>
      </c>
      <c r="S33" s="67">
        <f t="shared" si="5"/>
        <v>869.92951780382339</v>
      </c>
      <c r="T33" s="67">
        <f t="shared" si="5"/>
        <v>869.92951780382339</v>
      </c>
    </row>
    <row r="34" spans="1:20" s="2" customFormat="1" ht="60" x14ac:dyDescent="0.25">
      <c r="A34" s="39">
        <v>20</v>
      </c>
      <c r="B34" s="85" t="s">
        <v>87</v>
      </c>
      <c r="C34" s="84" t="s">
        <v>99</v>
      </c>
      <c r="D34" s="99">
        <v>179.3</v>
      </c>
      <c r="E34" s="75">
        <v>108</v>
      </c>
      <c r="F34" s="66">
        <v>102.8</v>
      </c>
      <c r="G34" s="35">
        <v>102.8</v>
      </c>
      <c r="H34" s="35">
        <v>102.8</v>
      </c>
      <c r="I34" s="35">
        <v>102.8</v>
      </c>
      <c r="J34" s="35">
        <v>102.8</v>
      </c>
      <c r="K34" s="35">
        <v>102.8</v>
      </c>
      <c r="L34" s="69">
        <v>102.9</v>
      </c>
      <c r="M34" s="69">
        <v>102.9</v>
      </c>
      <c r="N34" s="69">
        <v>102.9</v>
      </c>
      <c r="O34" s="69">
        <v>102.9</v>
      </c>
      <c r="P34" s="69">
        <v>102.9</v>
      </c>
      <c r="Q34" s="69">
        <v>102.9</v>
      </c>
      <c r="R34" s="69">
        <v>102.9</v>
      </c>
      <c r="S34" s="69">
        <v>102.9</v>
      </c>
      <c r="T34" s="69">
        <v>102.9</v>
      </c>
    </row>
    <row r="35" spans="1:20" s="2" customFormat="1" ht="28.5" x14ac:dyDescent="0.25">
      <c r="A35" s="39"/>
      <c r="B35" s="88" t="s">
        <v>54</v>
      </c>
      <c r="C35" s="87"/>
      <c r="D35" s="43"/>
      <c r="E35" s="43"/>
      <c r="F35" s="66"/>
      <c r="G35" s="35"/>
      <c r="H35" s="35"/>
      <c r="I35" s="35"/>
      <c r="J35" s="35"/>
      <c r="K35" s="35"/>
      <c r="L35" s="69"/>
      <c r="M35" s="69"/>
      <c r="N35" s="69"/>
      <c r="O35" s="69"/>
      <c r="P35" s="69"/>
      <c r="Q35" s="69"/>
      <c r="R35" s="69"/>
      <c r="S35" s="69"/>
      <c r="T35" s="69"/>
    </row>
    <row r="36" spans="1:20" s="2" customFormat="1" ht="30" x14ac:dyDescent="0.25">
      <c r="A36" s="39">
        <v>21</v>
      </c>
      <c r="B36" s="85" t="s">
        <v>24</v>
      </c>
      <c r="C36" s="84" t="s">
        <v>16</v>
      </c>
      <c r="D36" s="65">
        <v>4520.07</v>
      </c>
      <c r="E36" s="64">
        <f>SUM(D36*E37/100)</f>
        <v>4895.2358099999992</v>
      </c>
      <c r="F36" s="70">
        <f>SUM(5746.52*F37/100)</f>
        <v>5913.1690800000006</v>
      </c>
      <c r="G36" s="70">
        <f>SUM(5751.47*G37/100)</f>
        <v>5918.2626300000002</v>
      </c>
      <c r="H36" s="70">
        <f>SUM(5751.47*H37/100)</f>
        <v>5918.2626300000002</v>
      </c>
      <c r="I36" s="70">
        <f>SUM(F36*I37/100)</f>
        <v>6090.5641524000002</v>
      </c>
      <c r="J36" s="70">
        <f t="shared" ref="J36:T36" si="6">SUM(G36*J37/100)</f>
        <v>6095.810508900001</v>
      </c>
      <c r="K36" s="70">
        <f t="shared" si="6"/>
        <v>6095.810508900001</v>
      </c>
      <c r="L36" s="70">
        <f t="shared" si="6"/>
        <v>6279.3716411243995</v>
      </c>
      <c r="M36" s="70">
        <f t="shared" si="6"/>
        <v>6284.7806346758998</v>
      </c>
      <c r="N36" s="70">
        <f t="shared" si="6"/>
        <v>6284.7806346758998</v>
      </c>
      <c r="O36" s="70">
        <f t="shared" si="6"/>
        <v>6474.0321619992555</v>
      </c>
      <c r="P36" s="70">
        <f t="shared" si="6"/>
        <v>6479.6088343508518</v>
      </c>
      <c r="Q36" s="70">
        <f t="shared" si="6"/>
        <v>6479.6088343508518</v>
      </c>
      <c r="R36" s="70">
        <f t="shared" si="6"/>
        <v>6674.7271590212322</v>
      </c>
      <c r="S36" s="70">
        <f t="shared" si="6"/>
        <v>6680.4767082157277</v>
      </c>
      <c r="T36" s="70">
        <f t="shared" si="6"/>
        <v>6680.4767082157277</v>
      </c>
    </row>
    <row r="37" spans="1:20" s="2" customFormat="1" ht="60" x14ac:dyDescent="0.25">
      <c r="A37" s="39">
        <v>22</v>
      </c>
      <c r="B37" s="85" t="s">
        <v>24</v>
      </c>
      <c r="C37" s="84" t="s">
        <v>99</v>
      </c>
      <c r="D37" s="64">
        <v>115</v>
      </c>
      <c r="E37" s="65">
        <v>108.3</v>
      </c>
      <c r="F37" s="71">
        <v>102.9</v>
      </c>
      <c r="G37" s="67">
        <v>102.9</v>
      </c>
      <c r="H37" s="67">
        <v>102.9</v>
      </c>
      <c r="I37" s="67">
        <v>103</v>
      </c>
      <c r="J37" s="67">
        <v>103</v>
      </c>
      <c r="K37" s="67">
        <v>103</v>
      </c>
      <c r="L37" s="69">
        <v>103.1</v>
      </c>
      <c r="M37" s="69">
        <v>103.1</v>
      </c>
      <c r="N37" s="69">
        <v>103.1</v>
      </c>
      <c r="O37" s="69">
        <v>103.1</v>
      </c>
      <c r="P37" s="69">
        <v>103.1</v>
      </c>
      <c r="Q37" s="69">
        <v>103.1</v>
      </c>
      <c r="R37" s="69">
        <v>103.1</v>
      </c>
      <c r="S37" s="69">
        <v>103.1</v>
      </c>
      <c r="T37" s="69">
        <v>103.1</v>
      </c>
    </row>
    <row r="38" spans="1:20" s="2" customFormat="1" ht="28.5" x14ac:dyDescent="0.25">
      <c r="A38" s="15"/>
      <c r="B38" s="88" t="s">
        <v>88</v>
      </c>
      <c r="C38" s="87"/>
      <c r="D38" s="43"/>
      <c r="E38" s="43"/>
      <c r="F38" s="67"/>
      <c r="G38" s="68"/>
      <c r="H38" s="68"/>
      <c r="I38" s="68"/>
      <c r="J38" s="68"/>
      <c r="K38" s="68"/>
      <c r="L38" s="111"/>
      <c r="M38" s="111"/>
      <c r="N38" s="111"/>
      <c r="O38" s="111"/>
      <c r="P38" s="111"/>
      <c r="Q38" s="111"/>
      <c r="R38" s="111"/>
      <c r="S38" s="111"/>
      <c r="T38" s="111"/>
    </row>
    <row r="39" spans="1:20" s="2" customFormat="1" ht="65.25" customHeight="1" x14ac:dyDescent="0.25">
      <c r="A39" s="9">
        <v>23</v>
      </c>
      <c r="B39" s="89" t="s">
        <v>56</v>
      </c>
      <c r="C39" s="90" t="s">
        <v>28</v>
      </c>
      <c r="D39" s="65">
        <v>18372.27</v>
      </c>
      <c r="E39" s="112">
        <v>19959.400000000001</v>
      </c>
      <c r="F39" s="67">
        <v>25121.89</v>
      </c>
      <c r="G39" s="67">
        <f>F39*104.2/100</f>
        <v>26177.00938</v>
      </c>
      <c r="H39" s="67">
        <f>F39*104.1/100</f>
        <v>26151.887489999997</v>
      </c>
      <c r="I39" s="67">
        <f>F39*104.1/100</f>
        <v>26151.887489999997</v>
      </c>
      <c r="J39" s="67">
        <f t="shared" ref="J39:T39" si="7">G39*104.1/100</f>
        <v>27250.266764579996</v>
      </c>
      <c r="K39" s="67">
        <f t="shared" si="7"/>
        <v>27224.114877089996</v>
      </c>
      <c r="L39" s="67">
        <f t="shared" si="7"/>
        <v>27224.114877089996</v>
      </c>
      <c r="M39" s="67">
        <f t="shared" si="7"/>
        <v>28367.527701927771</v>
      </c>
      <c r="N39" s="67">
        <f t="shared" si="7"/>
        <v>28340.303587050686</v>
      </c>
      <c r="O39" s="67">
        <f t="shared" si="7"/>
        <v>28340.303587050686</v>
      </c>
      <c r="P39" s="67">
        <f t="shared" si="7"/>
        <v>29530.596337706811</v>
      </c>
      <c r="Q39" s="67">
        <f t="shared" si="7"/>
        <v>29502.256034119764</v>
      </c>
      <c r="R39" s="67">
        <f t="shared" si="7"/>
        <v>29502.256034119764</v>
      </c>
      <c r="S39" s="67">
        <f t="shared" si="7"/>
        <v>30741.35078755279</v>
      </c>
      <c r="T39" s="67">
        <f t="shared" si="7"/>
        <v>30711.84853151867</v>
      </c>
    </row>
    <row r="40" spans="1:20" s="2" customFormat="1" ht="60" customHeight="1" x14ac:dyDescent="0.25">
      <c r="A40" s="9">
        <v>24</v>
      </c>
      <c r="B40" s="89" t="s">
        <v>25</v>
      </c>
      <c r="C40" s="84" t="s">
        <v>99</v>
      </c>
      <c r="D40" s="64">
        <v>125.51633736248839</v>
      </c>
      <c r="E40" s="112">
        <f>E39/D39/107.4*10000</f>
        <v>101.15337583303614</v>
      </c>
      <c r="F40" s="112">
        <f t="shared" ref="F40:T40" si="8">F39/E39/107.4*10000</f>
        <v>117.19269633184039</v>
      </c>
      <c r="G40" s="112">
        <f t="shared" si="8"/>
        <v>97.020484171322153</v>
      </c>
      <c r="H40" s="112">
        <f t="shared" si="8"/>
        <v>93.020512765523961</v>
      </c>
      <c r="I40" s="112">
        <f t="shared" si="8"/>
        <v>93.109869646182489</v>
      </c>
      <c r="J40" s="112">
        <f t="shared" si="8"/>
        <v>97.020484171322153</v>
      </c>
      <c r="K40" s="112">
        <f t="shared" si="8"/>
        <v>93.020512765523961</v>
      </c>
      <c r="L40" s="112">
        <f t="shared" si="8"/>
        <v>93.109869646182489</v>
      </c>
      <c r="M40" s="112">
        <f t="shared" si="8"/>
        <v>97.020484171322138</v>
      </c>
      <c r="N40" s="112">
        <f t="shared" si="8"/>
        <v>93.020512765523975</v>
      </c>
      <c r="O40" s="112">
        <f t="shared" si="8"/>
        <v>93.109869646182489</v>
      </c>
      <c r="P40" s="112">
        <f t="shared" si="8"/>
        <v>97.020484171322138</v>
      </c>
      <c r="Q40" s="112">
        <f t="shared" si="8"/>
        <v>93.020512765523975</v>
      </c>
      <c r="R40" s="112">
        <f t="shared" si="8"/>
        <v>93.109869646182489</v>
      </c>
      <c r="S40" s="112">
        <f t="shared" si="8"/>
        <v>97.020484171322138</v>
      </c>
      <c r="T40" s="112">
        <f t="shared" si="8"/>
        <v>93.020512765523961</v>
      </c>
    </row>
    <row r="41" spans="1:20" s="2" customFormat="1" ht="121.5" customHeight="1" x14ac:dyDescent="0.25">
      <c r="A41" s="9">
        <v>25</v>
      </c>
      <c r="B41" s="91" t="s">
        <v>57</v>
      </c>
      <c r="C41" s="92" t="s">
        <v>58</v>
      </c>
      <c r="D41" s="65">
        <v>5867.4</v>
      </c>
      <c r="E41" s="112">
        <v>13505.3</v>
      </c>
      <c r="F41" s="66">
        <v>15485.22</v>
      </c>
      <c r="G41" s="66">
        <f>F41*104.2/100</f>
        <v>16135.59924</v>
      </c>
      <c r="H41" s="66">
        <f>F41*104.1/100</f>
        <v>16120.114019999997</v>
      </c>
      <c r="I41" s="66">
        <f t="shared" ref="I41:T41" si="9">G41*104.1/100</f>
        <v>16797.158808839999</v>
      </c>
      <c r="J41" s="66">
        <f t="shared" si="9"/>
        <v>16781.038694819996</v>
      </c>
      <c r="K41" s="66">
        <f t="shared" si="9"/>
        <v>17485.842320002437</v>
      </c>
      <c r="L41" s="66">
        <f t="shared" si="9"/>
        <v>17469.061281307615</v>
      </c>
      <c r="M41" s="66">
        <f t="shared" si="9"/>
        <v>18202.761855122535</v>
      </c>
      <c r="N41" s="66">
        <f t="shared" si="9"/>
        <v>18185.292793841229</v>
      </c>
      <c r="O41" s="66">
        <f t="shared" si="9"/>
        <v>18949.075091182556</v>
      </c>
      <c r="P41" s="66">
        <f t="shared" si="9"/>
        <v>18930.889798388718</v>
      </c>
      <c r="Q41" s="66">
        <f t="shared" si="9"/>
        <v>19725.987169921038</v>
      </c>
      <c r="R41" s="66">
        <f t="shared" si="9"/>
        <v>19707.056280122655</v>
      </c>
      <c r="S41" s="66">
        <f t="shared" si="9"/>
        <v>20534.752643887798</v>
      </c>
      <c r="T41" s="66">
        <f t="shared" si="9"/>
        <v>20515.045587607681</v>
      </c>
    </row>
    <row r="42" spans="1:20" s="2" customFormat="1" ht="60" x14ac:dyDescent="0.25">
      <c r="A42" s="9">
        <v>26</v>
      </c>
      <c r="B42" s="91" t="s">
        <v>59</v>
      </c>
      <c r="C42" s="84" t="s">
        <v>99</v>
      </c>
      <c r="D42" s="65">
        <v>131.28</v>
      </c>
      <c r="E42" s="112">
        <f>E41/D41/107.4*10000</f>
        <v>214.31583367975398</v>
      </c>
      <c r="F42" s="112">
        <f t="shared" ref="F42:T42" si="10">F41/E41/107.4*10000</f>
        <v>106.76007312999029</v>
      </c>
      <c r="G42" s="112">
        <f t="shared" si="10"/>
        <v>97.020484171322153</v>
      </c>
      <c r="H42" s="112">
        <f t="shared" si="10"/>
        <v>93.020512765523961</v>
      </c>
      <c r="I42" s="112">
        <f t="shared" si="10"/>
        <v>97.020484171322153</v>
      </c>
      <c r="J42" s="112">
        <f t="shared" si="10"/>
        <v>93.020512765523961</v>
      </c>
      <c r="K42" s="112">
        <f t="shared" si="10"/>
        <v>97.020484171322153</v>
      </c>
      <c r="L42" s="112">
        <f t="shared" si="10"/>
        <v>93.020512765523961</v>
      </c>
      <c r="M42" s="112">
        <f t="shared" si="10"/>
        <v>97.020484171322153</v>
      </c>
      <c r="N42" s="112">
        <f t="shared" si="10"/>
        <v>93.020512765523975</v>
      </c>
      <c r="O42" s="112">
        <f t="shared" si="10"/>
        <v>97.020484171322138</v>
      </c>
      <c r="P42" s="112">
        <f t="shared" si="10"/>
        <v>93.020512765523975</v>
      </c>
      <c r="Q42" s="112">
        <f t="shared" si="10"/>
        <v>97.020484171322124</v>
      </c>
      <c r="R42" s="112">
        <f t="shared" si="10"/>
        <v>93.020512765523989</v>
      </c>
      <c r="S42" s="112">
        <f t="shared" si="10"/>
        <v>97.020484171322124</v>
      </c>
      <c r="T42" s="112">
        <f t="shared" si="10"/>
        <v>93.020512765523989</v>
      </c>
    </row>
    <row r="43" spans="1:20" s="2" customFormat="1" ht="48" customHeight="1" x14ac:dyDescent="0.25">
      <c r="A43" s="35">
        <v>27</v>
      </c>
      <c r="B43" s="86" t="s">
        <v>26</v>
      </c>
      <c r="C43" s="87" t="s">
        <v>27</v>
      </c>
      <c r="D43" s="69">
        <v>65.91</v>
      </c>
      <c r="E43" s="69">
        <v>58.5</v>
      </c>
      <c r="F43" s="69">
        <v>92</v>
      </c>
      <c r="G43" s="69">
        <v>93</v>
      </c>
      <c r="H43" s="69">
        <v>93</v>
      </c>
      <c r="I43" s="69">
        <v>95</v>
      </c>
      <c r="J43" s="69">
        <v>96</v>
      </c>
      <c r="K43" s="69">
        <v>96</v>
      </c>
      <c r="L43" s="69">
        <v>96</v>
      </c>
      <c r="M43" s="69">
        <v>97</v>
      </c>
      <c r="N43" s="69">
        <v>97</v>
      </c>
      <c r="O43" s="69">
        <v>97</v>
      </c>
      <c r="P43" s="69">
        <v>98</v>
      </c>
      <c r="Q43" s="69">
        <v>98</v>
      </c>
      <c r="R43" s="38">
        <v>98</v>
      </c>
      <c r="S43" s="38">
        <v>99</v>
      </c>
      <c r="T43" s="38">
        <v>99</v>
      </c>
    </row>
    <row r="44" spans="1:20" s="2" customFormat="1" ht="28.5" x14ac:dyDescent="0.25">
      <c r="A44" s="15"/>
      <c r="B44" s="88" t="s">
        <v>89</v>
      </c>
      <c r="C44" s="87"/>
      <c r="D44" s="43"/>
      <c r="E44" s="43"/>
      <c r="F44" s="113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</row>
    <row r="45" spans="1:20" s="2" customFormat="1" ht="30" x14ac:dyDescent="0.25">
      <c r="A45" s="35">
        <v>28</v>
      </c>
      <c r="B45" s="86" t="s">
        <v>60</v>
      </c>
      <c r="C45" s="87" t="s">
        <v>61</v>
      </c>
      <c r="D45" s="43">
        <v>102.4</v>
      </c>
      <c r="E45" s="43">
        <v>102.5</v>
      </c>
      <c r="F45" s="35">
        <v>102.4</v>
      </c>
      <c r="G45" s="35">
        <v>102.5</v>
      </c>
      <c r="H45" s="35">
        <v>102.5</v>
      </c>
      <c r="I45" s="35">
        <v>102.5</v>
      </c>
      <c r="J45" s="35">
        <v>102.6</v>
      </c>
      <c r="K45" s="35">
        <v>102.6</v>
      </c>
      <c r="L45" s="69">
        <v>102.5</v>
      </c>
      <c r="M45" s="69">
        <v>102.6</v>
      </c>
      <c r="N45" s="69">
        <v>102.6</v>
      </c>
      <c r="O45" s="69">
        <v>102.5</v>
      </c>
      <c r="P45" s="69">
        <v>102.6</v>
      </c>
      <c r="Q45" s="69">
        <v>102.6</v>
      </c>
      <c r="R45" s="69">
        <v>102.5</v>
      </c>
      <c r="S45" s="69">
        <v>102.6</v>
      </c>
      <c r="T45" s="69">
        <v>102.6</v>
      </c>
    </row>
    <row r="46" spans="1:20" s="2" customFormat="1" ht="59.25" customHeight="1" x14ac:dyDescent="0.25">
      <c r="A46" s="35">
        <v>29</v>
      </c>
      <c r="B46" s="86" t="s">
        <v>62</v>
      </c>
      <c r="C46" s="87" t="s">
        <v>55</v>
      </c>
      <c r="D46" s="43">
        <v>29.5</v>
      </c>
      <c r="E46" s="43">
        <v>29.7</v>
      </c>
      <c r="F46" s="76">
        <v>29.2</v>
      </c>
      <c r="G46" s="76">
        <v>29.2</v>
      </c>
      <c r="H46" s="76">
        <v>29.2</v>
      </c>
      <c r="I46" s="76">
        <v>29.1</v>
      </c>
      <c r="J46" s="76">
        <v>29.1</v>
      </c>
      <c r="K46" s="76">
        <v>29.1</v>
      </c>
      <c r="L46" s="76">
        <v>29</v>
      </c>
      <c r="M46" s="76">
        <v>29</v>
      </c>
      <c r="N46" s="76">
        <v>29</v>
      </c>
      <c r="O46" s="76">
        <v>28.9</v>
      </c>
      <c r="P46" s="76">
        <v>28.9</v>
      </c>
      <c r="Q46" s="76">
        <v>28.9</v>
      </c>
      <c r="R46" s="76">
        <v>28.8</v>
      </c>
      <c r="S46" s="76">
        <v>28.8</v>
      </c>
      <c r="T46" s="76">
        <v>28.8</v>
      </c>
    </row>
    <row r="47" spans="1:20" s="2" customFormat="1" ht="18.75" customHeight="1" x14ac:dyDescent="0.25">
      <c r="A47" s="15"/>
      <c r="B47" s="88" t="s">
        <v>90</v>
      </c>
      <c r="C47" s="87"/>
      <c r="D47" s="43"/>
      <c r="E47" s="43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</row>
    <row r="48" spans="1:20" s="2" customFormat="1" ht="51.75" customHeight="1" x14ac:dyDescent="0.25">
      <c r="A48" s="39">
        <v>30</v>
      </c>
      <c r="B48" s="93" t="s">
        <v>63</v>
      </c>
      <c r="C48" s="94" t="s">
        <v>64</v>
      </c>
      <c r="D48" s="114">
        <v>53145.5</v>
      </c>
      <c r="E48" s="114">
        <v>62871.13</v>
      </c>
      <c r="F48" s="76">
        <v>87062.6</v>
      </c>
      <c r="G48" s="76">
        <v>87062.6</v>
      </c>
      <c r="H48" s="76">
        <v>87062.6</v>
      </c>
      <c r="I48" s="76">
        <f t="shared" ref="I48:T48" si="11">H48*I49/100</f>
        <v>89326.227599999998</v>
      </c>
      <c r="J48" s="76">
        <f t="shared" si="11"/>
        <v>91559.383289999998</v>
      </c>
      <c r="K48" s="76">
        <f t="shared" si="11"/>
        <v>93848.367872250004</v>
      </c>
      <c r="L48" s="76">
        <f t="shared" si="11"/>
        <v>96194.577069056264</v>
      </c>
      <c r="M48" s="76">
        <f t="shared" si="11"/>
        <v>98599.441495782681</v>
      </c>
      <c r="N48" s="76">
        <f t="shared" si="11"/>
        <v>101064.42753317725</v>
      </c>
      <c r="O48" s="76">
        <f t="shared" si="11"/>
        <v>103591.03822150668</v>
      </c>
      <c r="P48" s="76">
        <f t="shared" si="11"/>
        <v>106180.81417704435</v>
      </c>
      <c r="Q48" s="76">
        <f>P48*Q49/100</f>
        <v>108835.33453147046</v>
      </c>
      <c r="R48" s="76">
        <f t="shared" si="11"/>
        <v>111556.21789475722</v>
      </c>
      <c r="S48" s="115">
        <f>R48*S49/100</f>
        <v>114345.12334212616</v>
      </c>
      <c r="T48" s="76">
        <f t="shared" si="11"/>
        <v>117203.75142567931</v>
      </c>
    </row>
    <row r="49" spans="1:20" s="2" customFormat="1" ht="63.75" customHeight="1" x14ac:dyDescent="0.25">
      <c r="A49" s="39">
        <v>31</v>
      </c>
      <c r="B49" s="93" t="s">
        <v>91</v>
      </c>
      <c r="C49" s="94" t="s">
        <v>61</v>
      </c>
      <c r="D49" s="114">
        <v>114.4</v>
      </c>
      <c r="E49" s="114">
        <v>118.3</v>
      </c>
      <c r="F49" s="35">
        <v>102.6</v>
      </c>
      <c r="G49" s="35">
        <v>102.6</v>
      </c>
      <c r="H49" s="35">
        <v>102.6</v>
      </c>
      <c r="I49" s="35">
        <v>102.6</v>
      </c>
      <c r="J49" s="35">
        <v>102.5</v>
      </c>
      <c r="K49" s="35">
        <v>102.5</v>
      </c>
      <c r="L49" s="35">
        <v>102.5</v>
      </c>
      <c r="M49" s="35">
        <v>102.5</v>
      </c>
      <c r="N49" s="35">
        <v>102.5</v>
      </c>
      <c r="O49" s="35">
        <v>102.5</v>
      </c>
      <c r="P49" s="35">
        <v>102.5</v>
      </c>
      <c r="Q49" s="35">
        <v>102.5</v>
      </c>
      <c r="R49" s="35">
        <v>102.5</v>
      </c>
      <c r="S49" s="35">
        <v>102.5</v>
      </c>
      <c r="T49" s="35">
        <v>102.5</v>
      </c>
    </row>
    <row r="50" spans="1:20" s="2" customFormat="1" ht="30" x14ac:dyDescent="0.25">
      <c r="A50" s="39">
        <v>32</v>
      </c>
      <c r="B50" s="93" t="s">
        <v>65</v>
      </c>
      <c r="C50" s="95" t="s">
        <v>55</v>
      </c>
      <c r="D50" s="114">
        <v>0.25</v>
      </c>
      <c r="E50" s="65">
        <v>0.2</v>
      </c>
      <c r="F50" s="78">
        <v>0.2</v>
      </c>
      <c r="G50" s="78">
        <v>0.2</v>
      </c>
      <c r="H50" s="78">
        <v>0.2</v>
      </c>
      <c r="I50" s="78">
        <v>0.2</v>
      </c>
      <c r="J50" s="78">
        <v>0.2</v>
      </c>
      <c r="K50" s="78">
        <v>0.2</v>
      </c>
      <c r="L50" s="78">
        <v>0.2</v>
      </c>
      <c r="M50" s="78">
        <v>0.2</v>
      </c>
      <c r="N50" s="78">
        <v>0.2</v>
      </c>
      <c r="O50" s="78">
        <v>0.2</v>
      </c>
      <c r="P50" s="78">
        <v>0.2</v>
      </c>
      <c r="Q50" s="78">
        <v>0.2</v>
      </c>
      <c r="R50" s="78">
        <v>0.2</v>
      </c>
      <c r="S50" s="78">
        <v>0.2</v>
      </c>
      <c r="T50" s="78">
        <v>0.2</v>
      </c>
    </row>
    <row r="51" spans="1:20" s="2" customFormat="1" ht="30" x14ac:dyDescent="0.25">
      <c r="A51" s="39">
        <v>33</v>
      </c>
      <c r="B51" s="93" t="s">
        <v>66</v>
      </c>
      <c r="C51" s="94" t="s">
        <v>67</v>
      </c>
      <c r="D51" s="114">
        <v>20.73</v>
      </c>
      <c r="E51" s="114">
        <v>20.72</v>
      </c>
      <c r="F51" s="69">
        <v>20.51</v>
      </c>
      <c r="G51" s="69">
        <v>20.5</v>
      </c>
      <c r="H51" s="69">
        <v>20.350000000000001</v>
      </c>
      <c r="I51" s="69">
        <v>20.100000000000001</v>
      </c>
      <c r="J51" s="69">
        <v>20.2</v>
      </c>
      <c r="K51" s="69">
        <v>19.95</v>
      </c>
      <c r="L51" s="69">
        <v>19.62</v>
      </c>
      <c r="M51" s="69">
        <v>19.62</v>
      </c>
      <c r="N51" s="69">
        <v>19.62</v>
      </c>
      <c r="O51" s="69">
        <v>19.43</v>
      </c>
      <c r="P51" s="69">
        <v>19.43</v>
      </c>
      <c r="Q51" s="69">
        <v>19.43</v>
      </c>
      <c r="R51" s="69">
        <v>19.12</v>
      </c>
      <c r="S51" s="69">
        <v>19.12</v>
      </c>
      <c r="T51" s="69">
        <v>19.12</v>
      </c>
    </row>
    <row r="52" spans="1:20" s="2" customFormat="1" ht="74.25" customHeight="1" x14ac:dyDescent="0.25">
      <c r="A52" s="39">
        <v>34</v>
      </c>
      <c r="B52" s="93" t="s">
        <v>68</v>
      </c>
      <c r="C52" s="94" t="s">
        <v>67</v>
      </c>
      <c r="D52" s="114">
        <v>0.19</v>
      </c>
      <c r="E52" s="65">
        <v>0.14000000000000001</v>
      </c>
      <c r="F52" s="78">
        <v>0.2</v>
      </c>
      <c r="G52" s="78">
        <v>0.2</v>
      </c>
      <c r="H52" s="78">
        <v>0.2</v>
      </c>
      <c r="I52" s="78">
        <v>0.2</v>
      </c>
      <c r="J52" s="78">
        <v>0.2</v>
      </c>
      <c r="K52" s="78">
        <v>0.2</v>
      </c>
      <c r="L52" s="78">
        <v>0.2</v>
      </c>
      <c r="M52" s="78">
        <v>0.2</v>
      </c>
      <c r="N52" s="78">
        <v>0.2</v>
      </c>
      <c r="O52" s="78">
        <v>0.2</v>
      </c>
      <c r="P52" s="78">
        <v>0.2</v>
      </c>
      <c r="Q52" s="78">
        <v>0.2</v>
      </c>
      <c r="R52" s="78">
        <v>0.2</v>
      </c>
      <c r="S52" s="78">
        <v>0.2</v>
      </c>
      <c r="T52" s="78">
        <v>0.2</v>
      </c>
    </row>
    <row r="53" spans="1:20" s="2" customFormat="1" ht="36" customHeight="1" x14ac:dyDescent="0.25">
      <c r="A53" s="39">
        <v>35</v>
      </c>
      <c r="B53" s="93" t="s">
        <v>69</v>
      </c>
      <c r="C53" s="94" t="s">
        <v>70</v>
      </c>
      <c r="D53" s="114">
        <v>15286.7</v>
      </c>
      <c r="E53" s="114">
        <v>18084.169999999998</v>
      </c>
      <c r="F53" s="107">
        <v>23651.46</v>
      </c>
      <c r="G53" s="77">
        <f t="shared" ref="G53:T53" si="12">F53*G54/100</f>
        <v>24266.397959999995</v>
      </c>
      <c r="H53" s="77">
        <f t="shared" si="12"/>
        <v>24897.324306959996</v>
      </c>
      <c r="I53" s="77">
        <f t="shared" si="12"/>
        <v>25544.654738940953</v>
      </c>
      <c r="J53" s="77">
        <f t="shared" si="12"/>
        <v>26183.271107414475</v>
      </c>
      <c r="K53" s="77">
        <f t="shared" si="12"/>
        <v>26837.852885099837</v>
      </c>
      <c r="L53" s="77">
        <f t="shared" si="12"/>
        <v>27508.799207227334</v>
      </c>
      <c r="M53" s="77">
        <f t="shared" si="12"/>
        <v>28196.519187408016</v>
      </c>
      <c r="N53" s="77">
        <f t="shared" si="12"/>
        <v>28901.432167093215</v>
      </c>
      <c r="O53" s="77">
        <f>N53*O54/100</f>
        <v>29623.967971270544</v>
      </c>
      <c r="P53" s="77">
        <f t="shared" si="12"/>
        <v>30364.567170552309</v>
      </c>
      <c r="Q53" s="77">
        <f t="shared" si="12"/>
        <v>31123.681349816117</v>
      </c>
      <c r="R53" s="77">
        <f t="shared" si="12"/>
        <v>31901.773383561522</v>
      </c>
      <c r="S53" s="77">
        <f t="shared" si="12"/>
        <v>32699.31771815056</v>
      </c>
      <c r="T53" s="77">
        <f t="shared" si="12"/>
        <v>33516.800661104324</v>
      </c>
    </row>
    <row r="54" spans="1:20" s="2" customFormat="1" ht="32.25" customHeight="1" x14ac:dyDescent="0.25">
      <c r="A54" s="39">
        <v>36</v>
      </c>
      <c r="B54" s="93" t="s">
        <v>71</v>
      </c>
      <c r="C54" s="94" t="s">
        <v>61</v>
      </c>
      <c r="D54" s="114">
        <v>114.4</v>
      </c>
      <c r="E54" s="114">
        <v>118.3</v>
      </c>
      <c r="F54" s="35">
        <v>102.6</v>
      </c>
      <c r="G54" s="35">
        <v>102.6</v>
      </c>
      <c r="H54" s="35">
        <v>102.6</v>
      </c>
      <c r="I54" s="35">
        <v>102.6</v>
      </c>
      <c r="J54" s="35">
        <v>102.5</v>
      </c>
      <c r="K54" s="35">
        <v>102.5</v>
      </c>
      <c r="L54" s="35">
        <v>102.5</v>
      </c>
      <c r="M54" s="35">
        <v>102.5</v>
      </c>
      <c r="N54" s="35">
        <v>102.5</v>
      </c>
      <c r="O54" s="35">
        <v>102.5</v>
      </c>
      <c r="P54" s="35">
        <v>102.5</v>
      </c>
      <c r="Q54" s="35">
        <v>102.5</v>
      </c>
      <c r="R54" s="35">
        <v>102.5</v>
      </c>
      <c r="S54" s="35">
        <v>102.5</v>
      </c>
      <c r="T54" s="35">
        <v>102.5</v>
      </c>
    </row>
    <row r="55" spans="1:20" s="2" customFormat="1" ht="48.75" customHeight="1" x14ac:dyDescent="0.25">
      <c r="A55" s="39">
        <v>37</v>
      </c>
      <c r="B55" s="96" t="s">
        <v>72</v>
      </c>
      <c r="C55" s="97" t="s">
        <v>67</v>
      </c>
      <c r="D55" s="116">
        <v>23.97</v>
      </c>
      <c r="E55" s="114">
        <v>24.03</v>
      </c>
      <c r="F55" s="79">
        <v>24.25</v>
      </c>
      <c r="G55" s="79">
        <v>24.25</v>
      </c>
      <c r="H55" s="79">
        <v>24.25</v>
      </c>
      <c r="I55" s="79">
        <v>24.32</v>
      </c>
      <c r="J55" s="79">
        <v>24.32</v>
      </c>
      <c r="K55" s="79">
        <v>24.32</v>
      </c>
      <c r="L55" s="79">
        <v>24.85</v>
      </c>
      <c r="M55" s="79">
        <v>24.85</v>
      </c>
      <c r="N55" s="79">
        <v>24.85</v>
      </c>
      <c r="O55" s="79">
        <v>25</v>
      </c>
      <c r="P55" s="79">
        <v>25.1</v>
      </c>
      <c r="Q55" s="79">
        <v>25.21</v>
      </c>
      <c r="R55" s="79">
        <v>25.3</v>
      </c>
      <c r="S55" s="79">
        <v>25.3</v>
      </c>
      <c r="T55" s="79">
        <v>25.3</v>
      </c>
    </row>
    <row r="56" spans="1:20" s="2" customFormat="1" ht="28.5" x14ac:dyDescent="0.25">
      <c r="A56" s="15"/>
      <c r="B56" s="88" t="s">
        <v>92</v>
      </c>
      <c r="C56" s="87"/>
      <c r="D56" s="43"/>
      <c r="E56" s="43"/>
      <c r="F56" s="79"/>
      <c r="G56" s="79"/>
      <c r="H56" s="79"/>
      <c r="I56" s="79"/>
      <c r="J56" s="79"/>
      <c r="K56" s="79"/>
      <c r="L56" s="69"/>
      <c r="M56" s="69"/>
      <c r="N56" s="69"/>
      <c r="O56" s="69"/>
      <c r="P56" s="69"/>
      <c r="Q56" s="69"/>
      <c r="R56" s="69"/>
      <c r="S56" s="69"/>
      <c r="T56" s="69"/>
    </row>
    <row r="57" spans="1:20" s="2" customFormat="1" ht="34.5" customHeight="1" x14ac:dyDescent="0.25">
      <c r="A57" s="39">
        <v>38</v>
      </c>
      <c r="B57" s="96" t="s">
        <v>73</v>
      </c>
      <c r="C57" s="92" t="s">
        <v>74</v>
      </c>
      <c r="D57" s="65">
        <v>6093</v>
      </c>
      <c r="E57" s="116">
        <v>5950</v>
      </c>
      <c r="F57" s="79">
        <v>6000</v>
      </c>
      <c r="G57" s="79">
        <v>6000</v>
      </c>
      <c r="H57" s="79">
        <v>6000</v>
      </c>
      <c r="I57" s="79">
        <v>6200</v>
      </c>
      <c r="J57" s="79">
        <v>6200</v>
      </c>
      <c r="K57" s="79">
        <v>6200</v>
      </c>
      <c r="L57" s="79">
        <v>6300</v>
      </c>
      <c r="M57" s="79">
        <v>6300</v>
      </c>
      <c r="N57" s="79">
        <v>6300</v>
      </c>
      <c r="O57" s="79">
        <v>6300</v>
      </c>
      <c r="P57" s="79">
        <v>6300</v>
      </c>
      <c r="Q57" s="79">
        <v>6300</v>
      </c>
      <c r="R57" s="79">
        <v>6300</v>
      </c>
      <c r="S57" s="79">
        <v>6300</v>
      </c>
      <c r="T57" s="79">
        <v>6300</v>
      </c>
    </row>
    <row r="58" spans="1:20" s="2" customFormat="1" ht="21.75" customHeight="1" x14ac:dyDescent="0.25">
      <c r="A58" s="35"/>
      <c r="B58" s="91" t="s">
        <v>75</v>
      </c>
      <c r="C58" s="98"/>
      <c r="D58" s="65"/>
      <c r="E58" s="65"/>
      <c r="F58" s="7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</row>
    <row r="59" spans="1:20" s="2" customFormat="1" ht="30" x14ac:dyDescent="0.25">
      <c r="A59" s="39">
        <v>39</v>
      </c>
      <c r="B59" s="91" t="s">
        <v>76</v>
      </c>
      <c r="C59" s="92" t="s">
        <v>77</v>
      </c>
      <c r="D59" s="117">
        <v>86.2</v>
      </c>
      <c r="E59" s="117">
        <v>86.478227654698244</v>
      </c>
      <c r="F59" s="77">
        <f>E59*100.2%</f>
        <v>86.651184110007648</v>
      </c>
      <c r="G59" s="77">
        <f t="shared" ref="G59:T61" si="13">F59*100.2%</f>
        <v>86.824486478227669</v>
      </c>
      <c r="H59" s="77">
        <f t="shared" si="13"/>
        <v>86.998135451184126</v>
      </c>
      <c r="I59" s="77">
        <f t="shared" si="13"/>
        <v>87.17213172208649</v>
      </c>
      <c r="J59" s="77">
        <f t="shared" si="13"/>
        <v>87.34647598553066</v>
      </c>
      <c r="K59" s="77">
        <f t="shared" si="13"/>
        <v>87.521168937501727</v>
      </c>
      <c r="L59" s="77">
        <f t="shared" si="13"/>
        <v>87.696211275376726</v>
      </c>
      <c r="M59" s="77">
        <f t="shared" si="13"/>
        <v>87.871603697927483</v>
      </c>
      <c r="N59" s="77">
        <f t="shared" si="13"/>
        <v>88.047346905323337</v>
      </c>
      <c r="O59" s="77">
        <f t="shared" si="13"/>
        <v>88.223441599133977</v>
      </c>
      <c r="P59" s="77">
        <f t="shared" si="13"/>
        <v>88.399888482332244</v>
      </c>
      <c r="Q59" s="77">
        <f t="shared" si="13"/>
        <v>88.576688259296915</v>
      </c>
      <c r="R59" s="77">
        <f t="shared" si="13"/>
        <v>88.753841635815505</v>
      </c>
      <c r="S59" s="77">
        <f t="shared" si="13"/>
        <v>88.931349319087133</v>
      </c>
      <c r="T59" s="77">
        <f t="shared" si="13"/>
        <v>89.109212017725312</v>
      </c>
    </row>
    <row r="60" spans="1:20" s="2" customFormat="1" ht="45" x14ac:dyDescent="0.25">
      <c r="A60" s="39">
        <v>40</v>
      </c>
      <c r="B60" s="91" t="s">
        <v>78</v>
      </c>
      <c r="C60" s="92" t="s">
        <v>100</v>
      </c>
      <c r="D60" s="117">
        <v>25.13</v>
      </c>
      <c r="E60" s="117">
        <v>25.210084033613445</v>
      </c>
      <c r="F60" s="77">
        <f>E60*100.2%</f>
        <v>25.260504201680671</v>
      </c>
      <c r="G60" s="77">
        <f t="shared" si="13"/>
        <v>25.311025210084033</v>
      </c>
      <c r="H60" s="77">
        <f t="shared" si="13"/>
        <v>25.361647260504199</v>
      </c>
      <c r="I60" s="77">
        <f t="shared" si="13"/>
        <v>25.412370555025209</v>
      </c>
      <c r="J60" s="77">
        <f t="shared" si="13"/>
        <v>25.463195296135261</v>
      </c>
      <c r="K60" s="77">
        <f t="shared" si="13"/>
        <v>25.514121686727531</v>
      </c>
      <c r="L60" s="77">
        <f t="shared" si="13"/>
        <v>25.565149930100986</v>
      </c>
      <c r="M60" s="77">
        <f t="shared" si="13"/>
        <v>25.616280229961188</v>
      </c>
      <c r="N60" s="77">
        <f t="shared" si="13"/>
        <v>25.66751279042111</v>
      </c>
      <c r="O60" s="77">
        <f t="shared" si="13"/>
        <v>25.718847816001954</v>
      </c>
      <c r="P60" s="77">
        <f t="shared" si="13"/>
        <v>25.770285511633958</v>
      </c>
      <c r="Q60" s="77">
        <f t="shared" si="13"/>
        <v>25.821826082657225</v>
      </c>
      <c r="R60" s="77">
        <f t="shared" si="13"/>
        <v>25.873469734822539</v>
      </c>
      <c r="S60" s="77">
        <f t="shared" si="13"/>
        <v>25.925216674292184</v>
      </c>
      <c r="T60" s="77">
        <f t="shared" si="13"/>
        <v>25.977067107640767</v>
      </c>
    </row>
    <row r="61" spans="1:20" ht="45" x14ac:dyDescent="0.25">
      <c r="A61" s="39">
        <v>41</v>
      </c>
      <c r="B61" s="91" t="s">
        <v>79</v>
      </c>
      <c r="C61" s="92" t="s">
        <v>100</v>
      </c>
      <c r="D61" s="117">
        <v>16.8</v>
      </c>
      <c r="E61" s="117">
        <v>16.806722689075627</v>
      </c>
      <c r="F61" s="77">
        <f>E61*100.2%</f>
        <v>16.840336134453779</v>
      </c>
      <c r="G61" s="77">
        <f t="shared" si="13"/>
        <v>16.874016806722686</v>
      </c>
      <c r="H61" s="77">
        <f t="shared" si="13"/>
        <v>16.907764840336132</v>
      </c>
      <c r="I61" s="77">
        <f t="shared" si="13"/>
        <v>16.941580370016805</v>
      </c>
      <c r="J61" s="77">
        <f t="shared" si="13"/>
        <v>16.975463530756837</v>
      </c>
      <c r="K61" s="77">
        <f t="shared" si="13"/>
        <v>17.009414457818352</v>
      </c>
      <c r="L61" s="77">
        <f t="shared" si="13"/>
        <v>17.04343328673399</v>
      </c>
      <c r="M61" s="77">
        <f t="shared" si="13"/>
        <v>17.077520153307457</v>
      </c>
      <c r="N61" s="77">
        <f t="shared" si="13"/>
        <v>17.111675193614072</v>
      </c>
      <c r="O61" s="77">
        <f t="shared" si="13"/>
        <v>17.145898544001302</v>
      </c>
      <c r="P61" s="77">
        <f t="shared" si="13"/>
        <v>17.180190341089304</v>
      </c>
      <c r="Q61" s="77">
        <f t="shared" si="13"/>
        <v>17.214550721771484</v>
      </c>
      <c r="R61" s="77">
        <f t="shared" si="13"/>
        <v>17.248979823215027</v>
      </c>
      <c r="S61" s="77">
        <f t="shared" si="13"/>
        <v>17.283477782861457</v>
      </c>
      <c r="T61" s="77">
        <f t="shared" si="13"/>
        <v>17.318044738427179</v>
      </c>
    </row>
    <row r="62" spans="1:20" ht="60" x14ac:dyDescent="0.25">
      <c r="A62" s="39">
        <v>42</v>
      </c>
      <c r="B62" s="91" t="s">
        <v>80</v>
      </c>
      <c r="C62" s="92" t="s">
        <v>81</v>
      </c>
      <c r="D62" s="65">
        <v>1049</v>
      </c>
      <c r="E62" s="116">
        <v>960</v>
      </c>
      <c r="F62" s="100">
        <v>1000</v>
      </c>
      <c r="G62" s="100">
        <v>1000</v>
      </c>
      <c r="H62" s="100">
        <v>1000</v>
      </c>
      <c r="I62" s="100">
        <v>1050</v>
      </c>
      <c r="J62" s="100">
        <v>1050</v>
      </c>
      <c r="K62" s="100">
        <v>1050</v>
      </c>
      <c r="L62" s="100">
        <v>1100</v>
      </c>
      <c r="M62" s="100">
        <v>1100</v>
      </c>
      <c r="N62" s="100">
        <v>1100</v>
      </c>
      <c r="O62" s="100">
        <v>1120</v>
      </c>
      <c r="P62" s="100">
        <v>1120</v>
      </c>
      <c r="Q62" s="100">
        <v>1120</v>
      </c>
      <c r="R62" s="118">
        <v>1150</v>
      </c>
      <c r="S62" s="118">
        <v>1150</v>
      </c>
      <c r="T62" s="118">
        <v>1150</v>
      </c>
    </row>
    <row r="63" spans="1:20" s="2" customFormat="1" x14ac:dyDescent="0.25">
      <c r="A63" s="23"/>
      <c r="B63" s="23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30"/>
      <c r="S63" s="30"/>
      <c r="T63" s="30"/>
    </row>
    <row r="64" spans="1:20" s="2" customFormat="1" x14ac:dyDescent="0.25">
      <c r="A64" s="23"/>
      <c r="B64" s="23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30"/>
      <c r="S64" s="30"/>
      <c r="T64" s="30"/>
    </row>
    <row r="65" spans="1:20" x14ac:dyDescent="0.25">
      <c r="A65" s="23"/>
      <c r="B65" s="23"/>
      <c r="C65" s="5"/>
      <c r="R65" s="30"/>
      <c r="S65" s="30"/>
      <c r="T65" s="30"/>
    </row>
    <row r="66" spans="1:20" s="2" customFormat="1" x14ac:dyDescent="0.25">
      <c r="A66" s="23"/>
      <c r="B66" s="23"/>
      <c r="C66" s="5"/>
      <c r="D66" s="5"/>
      <c r="E66" s="5"/>
      <c r="F66" s="5" t="s">
        <v>30</v>
      </c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30"/>
      <c r="S66" s="30"/>
      <c r="T66" s="30"/>
    </row>
    <row r="67" spans="1:20" x14ac:dyDescent="0.25">
      <c r="A67" s="23"/>
      <c r="B67" s="23"/>
      <c r="C67" s="5"/>
      <c r="R67" s="30"/>
      <c r="S67" s="30"/>
      <c r="T67" s="30"/>
    </row>
    <row r="68" spans="1:20" x14ac:dyDescent="0.25">
      <c r="A68" s="103" t="s">
        <v>0</v>
      </c>
      <c r="B68" s="103" t="s">
        <v>1</v>
      </c>
      <c r="C68" s="101" t="s">
        <v>2</v>
      </c>
      <c r="D68" s="40" t="s">
        <v>94</v>
      </c>
      <c r="E68" s="40" t="s">
        <v>95</v>
      </c>
      <c r="F68" s="102" t="s">
        <v>3</v>
      </c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45"/>
      <c r="S68" s="45"/>
      <c r="T68" s="45"/>
    </row>
    <row r="69" spans="1:20" x14ac:dyDescent="0.25">
      <c r="A69" s="103"/>
      <c r="B69" s="103"/>
      <c r="C69" s="101"/>
      <c r="D69" s="101" t="s">
        <v>96</v>
      </c>
      <c r="E69" s="101" t="s">
        <v>93</v>
      </c>
      <c r="F69" s="105" t="s">
        <v>35</v>
      </c>
      <c r="G69" s="105"/>
      <c r="H69" s="105"/>
      <c r="I69" s="105" t="s">
        <v>36</v>
      </c>
      <c r="J69" s="106"/>
      <c r="K69" s="106"/>
      <c r="L69" s="104" t="s">
        <v>37</v>
      </c>
      <c r="M69" s="104"/>
      <c r="N69" s="104"/>
      <c r="O69" s="104" t="s">
        <v>97</v>
      </c>
      <c r="P69" s="104"/>
      <c r="Q69" s="104"/>
      <c r="R69" s="62"/>
      <c r="S69" s="62"/>
      <c r="T69" s="47"/>
    </row>
    <row r="70" spans="1:20" ht="47.25" x14ac:dyDescent="0.25">
      <c r="A70" s="103"/>
      <c r="B70" s="103"/>
      <c r="C70" s="101"/>
      <c r="D70" s="101"/>
      <c r="E70" s="101"/>
      <c r="F70" s="40" t="s">
        <v>5</v>
      </c>
      <c r="G70" s="40" t="s">
        <v>4</v>
      </c>
      <c r="H70" s="40" t="s">
        <v>6</v>
      </c>
      <c r="I70" s="40" t="s">
        <v>5</v>
      </c>
      <c r="J70" s="40" t="s">
        <v>4</v>
      </c>
      <c r="K70" s="40" t="s">
        <v>6</v>
      </c>
      <c r="L70" s="40" t="s">
        <v>5</v>
      </c>
      <c r="M70" s="40" t="s">
        <v>4</v>
      </c>
      <c r="N70" s="40" t="s">
        <v>6</v>
      </c>
      <c r="O70" s="40" t="s">
        <v>5</v>
      </c>
      <c r="P70" s="40" t="s">
        <v>4</v>
      </c>
      <c r="Q70" s="40" t="s">
        <v>6</v>
      </c>
      <c r="R70" s="46"/>
      <c r="S70" s="46"/>
      <c r="T70" s="46"/>
    </row>
    <row r="71" spans="1:20" x14ac:dyDescent="0.25">
      <c r="A71" s="3"/>
      <c r="B71" s="18" t="s">
        <v>38</v>
      </c>
      <c r="C71" s="40"/>
      <c r="D71" s="43"/>
      <c r="E71" s="43"/>
      <c r="F71" s="41"/>
      <c r="G71" s="41"/>
      <c r="H71" s="41"/>
      <c r="I71" s="41"/>
      <c r="J71" s="41"/>
      <c r="K71" s="41"/>
      <c r="L71" s="31"/>
      <c r="M71" s="31"/>
      <c r="N71" s="31"/>
      <c r="O71" s="31"/>
      <c r="P71" s="31"/>
      <c r="Q71" s="31"/>
      <c r="R71" s="47"/>
      <c r="S71" s="47"/>
      <c r="T71" s="47"/>
    </row>
    <row r="72" spans="1:20" ht="31.5" x14ac:dyDescent="0.25">
      <c r="A72" s="39"/>
      <c r="B72" s="18" t="s">
        <v>39</v>
      </c>
      <c r="C72" s="40"/>
      <c r="D72" s="43"/>
      <c r="E72" s="43"/>
      <c r="F72" s="14"/>
      <c r="G72" s="14"/>
      <c r="H72" s="14"/>
      <c r="I72" s="41"/>
      <c r="J72" s="41"/>
      <c r="K72" s="41"/>
      <c r="L72" s="31"/>
      <c r="M72" s="31"/>
      <c r="N72" s="31"/>
      <c r="O72" s="31"/>
      <c r="P72" s="31"/>
      <c r="Q72" s="31"/>
      <c r="R72" s="47"/>
      <c r="S72" s="47"/>
      <c r="T72" s="47"/>
    </row>
    <row r="73" spans="1:20" ht="31.5" x14ac:dyDescent="0.25">
      <c r="A73" s="39">
        <v>1</v>
      </c>
      <c r="B73" s="3" t="s">
        <v>40</v>
      </c>
      <c r="C73" s="40" t="s">
        <v>7</v>
      </c>
      <c r="D73" s="43">
        <v>130.87</v>
      </c>
      <c r="E73" s="43">
        <v>130</v>
      </c>
      <c r="F73" s="66">
        <v>129.46</v>
      </c>
      <c r="G73" s="66">
        <v>129.46</v>
      </c>
      <c r="H73" s="66">
        <v>129.46</v>
      </c>
      <c r="I73" s="66">
        <v>129.44999999999999</v>
      </c>
      <c r="J73" s="66">
        <v>129.44999999999999</v>
      </c>
      <c r="K73" s="66">
        <v>129.44999999999999</v>
      </c>
      <c r="L73" s="66">
        <v>129.44</v>
      </c>
      <c r="M73" s="66">
        <v>129.44</v>
      </c>
      <c r="N73" s="66">
        <v>129.44</v>
      </c>
      <c r="O73" s="66">
        <v>129.43</v>
      </c>
      <c r="P73" s="66">
        <v>129.43</v>
      </c>
      <c r="Q73" s="66">
        <v>129.43</v>
      </c>
      <c r="R73" s="48"/>
      <c r="S73" s="48"/>
      <c r="T73" s="48"/>
    </row>
    <row r="74" spans="1:20" ht="47.25" x14ac:dyDescent="0.25">
      <c r="A74" s="39">
        <v>2</v>
      </c>
      <c r="B74" s="3" t="s">
        <v>8</v>
      </c>
      <c r="C74" s="40" t="s">
        <v>9</v>
      </c>
      <c r="D74" s="43">
        <v>74.239999999999995</v>
      </c>
      <c r="E74" s="43">
        <v>74.58</v>
      </c>
      <c r="F74" s="67">
        <v>75.709999999999994</v>
      </c>
      <c r="G74" s="67">
        <v>75.709999999999994</v>
      </c>
      <c r="H74" s="67">
        <v>75.709999999999994</v>
      </c>
      <c r="I74" s="67">
        <v>75.73</v>
      </c>
      <c r="J74" s="67">
        <v>75.73</v>
      </c>
      <c r="K74" s="67">
        <v>75.73</v>
      </c>
      <c r="L74" s="67">
        <v>75.75</v>
      </c>
      <c r="M74" s="67">
        <v>75.75</v>
      </c>
      <c r="N74" s="67">
        <v>75.75</v>
      </c>
      <c r="O74" s="67">
        <v>75.77</v>
      </c>
      <c r="P74" s="67">
        <v>75.77</v>
      </c>
      <c r="Q74" s="67">
        <v>75.77</v>
      </c>
      <c r="R74" s="49"/>
      <c r="S74" s="49"/>
      <c r="T74" s="49"/>
    </row>
    <row r="75" spans="1:20" ht="78.75" x14ac:dyDescent="0.25">
      <c r="A75" s="39">
        <v>3</v>
      </c>
      <c r="B75" s="3" t="s">
        <v>10</v>
      </c>
      <c r="C75" s="40" t="s">
        <v>41</v>
      </c>
      <c r="D75" s="43">
        <v>8.6999999999999993</v>
      </c>
      <c r="E75" s="43">
        <v>9.8000000000000007</v>
      </c>
      <c r="F75" s="67">
        <v>9.4499999999999993</v>
      </c>
      <c r="G75" s="67">
        <v>9.4499999999999993</v>
      </c>
      <c r="H75" s="67">
        <v>9.4499999999999993</v>
      </c>
      <c r="I75" s="67">
        <v>9.4499999999999993</v>
      </c>
      <c r="J75" s="67">
        <v>9.4499999999999993</v>
      </c>
      <c r="K75" s="67">
        <v>9.4499999999999993</v>
      </c>
      <c r="L75" s="67">
        <v>9.44</v>
      </c>
      <c r="M75" s="67">
        <v>9.44</v>
      </c>
      <c r="N75" s="67">
        <v>9.44</v>
      </c>
      <c r="O75" s="67">
        <v>9.44</v>
      </c>
      <c r="P75" s="67">
        <v>9.44</v>
      </c>
      <c r="Q75" s="67">
        <v>9.44</v>
      </c>
      <c r="R75" s="49"/>
      <c r="S75" s="49"/>
      <c r="T75" s="49"/>
    </row>
    <row r="76" spans="1:20" ht="78.75" x14ac:dyDescent="0.25">
      <c r="A76" s="39">
        <v>4</v>
      </c>
      <c r="B76" s="3" t="s">
        <v>11</v>
      </c>
      <c r="C76" s="40" t="s">
        <v>82</v>
      </c>
      <c r="D76" s="43">
        <v>13</v>
      </c>
      <c r="E76" s="43">
        <v>12.8</v>
      </c>
      <c r="F76" s="67">
        <v>12.41</v>
      </c>
      <c r="G76" s="67">
        <v>12.41</v>
      </c>
      <c r="H76" s="67">
        <v>12.41</v>
      </c>
      <c r="I76" s="67">
        <v>12.4</v>
      </c>
      <c r="J76" s="67">
        <v>12.4</v>
      </c>
      <c r="K76" s="67">
        <v>12.4</v>
      </c>
      <c r="L76" s="67">
        <v>12.39</v>
      </c>
      <c r="M76" s="67">
        <v>12.39</v>
      </c>
      <c r="N76" s="67">
        <v>12.39</v>
      </c>
      <c r="O76" s="67">
        <v>12.38</v>
      </c>
      <c r="P76" s="67">
        <v>12.38</v>
      </c>
      <c r="Q76" s="67">
        <v>12.38</v>
      </c>
      <c r="R76" s="49"/>
      <c r="S76" s="49"/>
      <c r="T76" s="49"/>
    </row>
    <row r="77" spans="1:20" ht="47.25" x14ac:dyDescent="0.25">
      <c r="A77" s="39">
        <v>5</v>
      </c>
      <c r="B77" s="3" t="s">
        <v>12</v>
      </c>
      <c r="C77" s="40" t="s">
        <v>83</v>
      </c>
      <c r="D77" s="43">
        <v>-0.56999999999999995</v>
      </c>
      <c r="E77" s="43">
        <v>-0.4</v>
      </c>
      <c r="F77" s="42">
        <v>-0.35</v>
      </c>
      <c r="G77" s="42">
        <v>-0.35</v>
      </c>
      <c r="H77" s="42">
        <v>-0.35</v>
      </c>
      <c r="I77" s="42">
        <v>-0.34</v>
      </c>
      <c r="J77" s="42">
        <v>-0.34</v>
      </c>
      <c r="K77" s="42">
        <v>-0.34</v>
      </c>
      <c r="L77" s="42">
        <v>-0.33</v>
      </c>
      <c r="M77" s="42">
        <v>-0.33</v>
      </c>
      <c r="N77" s="42">
        <v>-0.33</v>
      </c>
      <c r="O77" s="42">
        <v>-0.33</v>
      </c>
      <c r="P77" s="42">
        <v>-0.33</v>
      </c>
      <c r="Q77" s="42">
        <v>-0.33</v>
      </c>
      <c r="R77" s="50"/>
      <c r="S77" s="50"/>
      <c r="T77" s="50"/>
    </row>
    <row r="78" spans="1:20" ht="31.5" x14ac:dyDescent="0.25">
      <c r="A78" s="39">
        <v>6</v>
      </c>
      <c r="B78" s="15" t="s">
        <v>42</v>
      </c>
      <c r="C78" s="16" t="s">
        <v>43</v>
      </c>
      <c r="D78" s="43">
        <v>-0.27</v>
      </c>
      <c r="E78" s="43">
        <v>-0.42</v>
      </c>
      <c r="F78" s="42">
        <v>-0.25</v>
      </c>
      <c r="G78" s="42">
        <v>-0.25</v>
      </c>
      <c r="H78" s="42">
        <v>-0.25</v>
      </c>
      <c r="I78" s="42">
        <v>-0.25</v>
      </c>
      <c r="J78" s="42">
        <v>-0.25</v>
      </c>
      <c r="K78" s="42">
        <v>-0.25</v>
      </c>
      <c r="L78" s="42">
        <v>-0.24</v>
      </c>
      <c r="M78" s="42">
        <v>-0.24</v>
      </c>
      <c r="N78" s="42">
        <v>-0.24</v>
      </c>
      <c r="O78" s="42">
        <v>-0.24</v>
      </c>
      <c r="P78" s="42">
        <v>-0.24</v>
      </c>
      <c r="Q78" s="42">
        <v>-0.24</v>
      </c>
      <c r="R78" s="50"/>
      <c r="S78" s="50"/>
      <c r="T78" s="50"/>
    </row>
    <row r="79" spans="1:20" ht="31.5" x14ac:dyDescent="0.25">
      <c r="A79" s="15"/>
      <c r="B79" s="17" t="s">
        <v>86</v>
      </c>
      <c r="C79" s="16"/>
      <c r="D79" s="43"/>
      <c r="E79" s="43"/>
      <c r="F79" s="35"/>
      <c r="G79" s="69"/>
      <c r="H79" s="69"/>
      <c r="I79" s="35"/>
      <c r="J79" s="35"/>
      <c r="K79" s="35"/>
      <c r="L79" s="38"/>
      <c r="M79" s="38"/>
      <c r="N79" s="38"/>
      <c r="O79" s="38"/>
      <c r="P79" s="38"/>
      <c r="Q79" s="38"/>
      <c r="R79" s="51"/>
      <c r="S79" s="51"/>
      <c r="T79" s="51"/>
    </row>
    <row r="80" spans="1:20" ht="31.5" x14ac:dyDescent="0.25">
      <c r="A80" s="15"/>
      <c r="B80" s="17" t="s">
        <v>13</v>
      </c>
      <c r="C80" s="16"/>
      <c r="D80" s="43"/>
      <c r="E80" s="43"/>
      <c r="F80" s="35"/>
      <c r="G80" s="69"/>
      <c r="H80" s="69"/>
      <c r="I80" s="35"/>
      <c r="J80" s="35"/>
      <c r="K80" s="35"/>
      <c r="L80" s="38"/>
      <c r="M80" s="38"/>
      <c r="N80" s="38"/>
      <c r="O80" s="38"/>
      <c r="P80" s="38"/>
      <c r="Q80" s="38"/>
      <c r="R80" s="51"/>
      <c r="S80" s="51"/>
      <c r="T80" s="51"/>
    </row>
    <row r="81" spans="1:20" ht="96.75" customHeight="1" x14ac:dyDescent="0.25">
      <c r="A81" s="39">
        <v>7</v>
      </c>
      <c r="B81" s="3" t="s">
        <v>44</v>
      </c>
      <c r="C81" s="40" t="s">
        <v>45</v>
      </c>
      <c r="D81" s="64">
        <v>23977.040000000001</v>
      </c>
      <c r="E81" s="65">
        <v>26182.93</v>
      </c>
      <c r="F81" s="67">
        <f>SUM(37090.18*F82/100)</f>
        <v>38722.147920000003</v>
      </c>
      <c r="G81" s="72">
        <f>SUM(37194.43*G82/100)</f>
        <v>38830.984920000003</v>
      </c>
      <c r="H81" s="72">
        <f>SUM(37194.43*H82/100)</f>
        <v>38830.984920000003</v>
      </c>
      <c r="I81" s="72">
        <f>SUM(F81*I82/100)</f>
        <v>40387.200280560006</v>
      </c>
      <c r="J81" s="72">
        <f t="shared" ref="J81:Q81" si="14">SUM(G81*J82/100)</f>
        <v>40539.548256480004</v>
      </c>
      <c r="K81" s="72">
        <f t="shared" si="14"/>
        <v>40539.548256480004</v>
      </c>
      <c r="L81" s="72">
        <f t="shared" si="14"/>
        <v>42123.849892624086</v>
      </c>
      <c r="M81" s="72">
        <f t="shared" si="14"/>
        <v>42282.748831508645</v>
      </c>
      <c r="N81" s="72">
        <f t="shared" si="14"/>
        <v>42282.748831508645</v>
      </c>
      <c r="O81" s="72">
        <f t="shared" si="14"/>
        <v>43935.175438006918</v>
      </c>
      <c r="P81" s="72">
        <f t="shared" si="14"/>
        <v>44100.907031263516</v>
      </c>
      <c r="Q81" s="72">
        <f t="shared" si="14"/>
        <v>44100.907031263516</v>
      </c>
      <c r="R81" s="52"/>
      <c r="S81" s="52"/>
      <c r="T81" s="52"/>
    </row>
    <row r="82" spans="1:20" ht="81.75" customHeight="1" x14ac:dyDescent="0.25">
      <c r="A82" s="39">
        <v>8</v>
      </c>
      <c r="B82" s="15" t="s">
        <v>53</v>
      </c>
      <c r="C82" s="16" t="s">
        <v>98</v>
      </c>
      <c r="D82" s="65">
        <v>122.73</v>
      </c>
      <c r="E82" s="65">
        <v>109.2</v>
      </c>
      <c r="F82" s="67">
        <v>104.4</v>
      </c>
      <c r="G82" s="69">
        <v>104.4</v>
      </c>
      <c r="H82" s="69">
        <v>104.4</v>
      </c>
      <c r="I82" s="35">
        <v>104.3</v>
      </c>
      <c r="J82" s="35">
        <v>104.4</v>
      </c>
      <c r="K82" s="35">
        <v>104.4</v>
      </c>
      <c r="L82" s="69">
        <v>104.3</v>
      </c>
      <c r="M82" s="69">
        <v>104.3</v>
      </c>
      <c r="N82" s="69">
        <v>104.3</v>
      </c>
      <c r="O82" s="69">
        <v>104.3</v>
      </c>
      <c r="P82" s="69">
        <v>104.3</v>
      </c>
      <c r="Q82" s="69">
        <v>104.3</v>
      </c>
      <c r="R82" s="53"/>
      <c r="S82" s="53"/>
      <c r="T82" s="53"/>
    </row>
    <row r="83" spans="1:20" ht="49.5" customHeight="1" x14ac:dyDescent="0.25">
      <c r="A83" s="36"/>
      <c r="B83" s="17" t="s">
        <v>46</v>
      </c>
      <c r="C83" s="16"/>
      <c r="D83" s="43"/>
      <c r="E83" s="43"/>
      <c r="F83" s="35"/>
      <c r="G83" s="69"/>
      <c r="H83" s="69"/>
      <c r="I83" s="35"/>
      <c r="J83" s="35"/>
      <c r="K83" s="35"/>
      <c r="L83" s="38"/>
      <c r="M83" s="38"/>
      <c r="N83" s="38"/>
      <c r="O83" s="38"/>
      <c r="P83" s="38"/>
      <c r="Q83" s="38"/>
      <c r="R83" s="51"/>
      <c r="S83" s="51"/>
      <c r="T83" s="51"/>
    </row>
    <row r="84" spans="1:20" ht="130.5" customHeight="1" x14ac:dyDescent="0.25">
      <c r="A84" s="39">
        <v>9</v>
      </c>
      <c r="B84" s="15" t="s">
        <v>47</v>
      </c>
      <c r="C84" s="16" t="s">
        <v>14</v>
      </c>
      <c r="D84" s="65">
        <v>1246.8699999999999</v>
      </c>
      <c r="E84" s="65">
        <v>1317.94</v>
      </c>
      <c r="F84" s="67">
        <f>SUM(1880.89*F85/100)</f>
        <v>1954.2447100000002</v>
      </c>
      <c r="G84" s="67">
        <f t="shared" ref="G84:H84" si="15">SUM(1880.89*G85/100)</f>
        <v>1954.2447100000002</v>
      </c>
      <c r="H84" s="67">
        <f t="shared" si="15"/>
        <v>1954.2447100000002</v>
      </c>
      <c r="I84" s="70">
        <f>SUM(F84*I85/100)</f>
        <v>2030.4602536900004</v>
      </c>
      <c r="J84" s="70">
        <f t="shared" ref="J84:Q84" si="16">SUM(G84*J85/100)</f>
        <v>2030.4602536900004</v>
      </c>
      <c r="K84" s="70">
        <f t="shared" si="16"/>
        <v>2030.4602536900004</v>
      </c>
      <c r="L84" s="70">
        <f t="shared" si="16"/>
        <v>2109.6482035839108</v>
      </c>
      <c r="M84" s="70">
        <f t="shared" si="16"/>
        <v>2109.6482035839108</v>
      </c>
      <c r="N84" s="70">
        <f t="shared" si="16"/>
        <v>2109.6482035839108</v>
      </c>
      <c r="O84" s="70">
        <f t="shared" si="16"/>
        <v>2191.9244835236836</v>
      </c>
      <c r="P84" s="70">
        <f t="shared" si="16"/>
        <v>2191.9244835236836</v>
      </c>
      <c r="Q84" s="70">
        <f t="shared" si="16"/>
        <v>2191.9244835236836</v>
      </c>
      <c r="R84" s="54"/>
      <c r="S84" s="54"/>
      <c r="T84" s="54"/>
    </row>
    <row r="85" spans="1:20" ht="87" customHeight="1" x14ac:dyDescent="0.25">
      <c r="A85" s="39">
        <v>10</v>
      </c>
      <c r="B85" s="15" t="s">
        <v>48</v>
      </c>
      <c r="C85" s="16" t="s">
        <v>98</v>
      </c>
      <c r="D85" s="65">
        <v>113.32</v>
      </c>
      <c r="E85" s="65">
        <v>105.7</v>
      </c>
      <c r="F85" s="67">
        <v>103.9</v>
      </c>
      <c r="G85" s="69">
        <v>103.9</v>
      </c>
      <c r="H85" s="69">
        <v>103.9</v>
      </c>
      <c r="I85" s="35">
        <v>103.9</v>
      </c>
      <c r="J85" s="35">
        <v>103.9</v>
      </c>
      <c r="K85" s="35">
        <v>103.9</v>
      </c>
      <c r="L85" s="69">
        <v>103.9</v>
      </c>
      <c r="M85" s="69">
        <v>103.9</v>
      </c>
      <c r="N85" s="69">
        <v>103.9</v>
      </c>
      <c r="O85" s="69">
        <v>103.9</v>
      </c>
      <c r="P85" s="69">
        <v>103.9</v>
      </c>
      <c r="Q85" s="69">
        <v>103.9</v>
      </c>
      <c r="R85" s="53"/>
      <c r="S85" s="53"/>
      <c r="T85" s="53"/>
    </row>
    <row r="86" spans="1:20" x14ac:dyDescent="0.25">
      <c r="A86" s="15"/>
      <c r="B86" s="17" t="s">
        <v>50</v>
      </c>
      <c r="C86" s="16"/>
      <c r="D86" s="43"/>
      <c r="E86" s="43"/>
      <c r="F86" s="35"/>
      <c r="G86" s="69"/>
      <c r="H86" s="69"/>
      <c r="I86" s="35"/>
      <c r="J86" s="35"/>
      <c r="K86" s="35"/>
      <c r="L86" s="38"/>
      <c r="M86" s="38"/>
      <c r="N86" s="38"/>
      <c r="O86" s="38"/>
      <c r="P86" s="38"/>
      <c r="Q86" s="38"/>
      <c r="R86" s="51"/>
      <c r="S86" s="51"/>
      <c r="T86" s="51"/>
    </row>
    <row r="87" spans="1:20" ht="31.5" x14ac:dyDescent="0.25">
      <c r="A87" s="39">
        <v>11</v>
      </c>
      <c r="B87" s="3" t="s">
        <v>15</v>
      </c>
      <c r="C87" s="40" t="s">
        <v>16</v>
      </c>
      <c r="D87" s="107">
        <v>6749.1</v>
      </c>
      <c r="E87" s="107">
        <v>6715</v>
      </c>
      <c r="F87" s="66">
        <f>F90+F92</f>
        <v>9929.0498521530862</v>
      </c>
      <c r="G87" s="66">
        <f t="shared" ref="G87:Q87" si="17">G90+G92</f>
        <v>10130.708613938881</v>
      </c>
      <c r="H87" s="66">
        <f t="shared" si="17"/>
        <v>10130.721698956633</v>
      </c>
      <c r="I87" s="66">
        <f t="shared" si="17"/>
        <v>10336.140896091363</v>
      </c>
      <c r="J87" s="66">
        <f t="shared" si="17"/>
        <v>10576.459792952191</v>
      </c>
      <c r="K87" s="66">
        <f t="shared" si="17"/>
        <v>10576.473453710725</v>
      </c>
      <c r="L87" s="66">
        <f t="shared" si="17"/>
        <v>10759.922672831108</v>
      </c>
      <c r="M87" s="66">
        <f t="shared" si="17"/>
        <v>11031.247564049136</v>
      </c>
      <c r="N87" s="66">
        <f t="shared" si="17"/>
        <v>11031.261812220286</v>
      </c>
      <c r="O87" s="66">
        <f t="shared" si="17"/>
        <v>11201.079502417184</v>
      </c>
      <c r="P87" s="66">
        <f t="shared" si="17"/>
        <v>11505.591209303248</v>
      </c>
      <c r="Q87" s="66">
        <f t="shared" si="17"/>
        <v>11505.606070145757</v>
      </c>
      <c r="R87" s="52"/>
      <c r="S87" s="52"/>
      <c r="T87" s="52"/>
    </row>
    <row r="88" spans="1:20" ht="78.75" x14ac:dyDescent="0.25">
      <c r="A88" s="39">
        <v>12</v>
      </c>
      <c r="B88" s="3" t="s">
        <v>17</v>
      </c>
      <c r="C88" s="40" t="s">
        <v>101</v>
      </c>
      <c r="D88" s="107">
        <v>132.63999999999999</v>
      </c>
      <c r="E88" s="107">
        <f>E87/D87/107.6*10000</f>
        <v>92.467237405025884</v>
      </c>
      <c r="F88" s="66">
        <v>100</v>
      </c>
      <c r="G88" s="72">
        <v>100</v>
      </c>
      <c r="H88" s="72">
        <v>100</v>
      </c>
      <c r="I88" s="72">
        <v>100</v>
      </c>
      <c r="J88" s="72">
        <v>100</v>
      </c>
      <c r="K88" s="72">
        <v>100</v>
      </c>
      <c r="L88" s="72">
        <v>100</v>
      </c>
      <c r="M88" s="72">
        <v>100</v>
      </c>
      <c r="N88" s="72">
        <v>100</v>
      </c>
      <c r="O88" s="72">
        <v>100</v>
      </c>
      <c r="P88" s="72">
        <v>100</v>
      </c>
      <c r="Q88" s="72">
        <v>100</v>
      </c>
      <c r="R88" s="52"/>
      <c r="S88" s="52"/>
      <c r="T88" s="52"/>
    </row>
    <row r="89" spans="1:20" ht="47.25" customHeight="1" x14ac:dyDescent="0.25">
      <c r="A89" s="15"/>
      <c r="B89" s="15" t="s">
        <v>18</v>
      </c>
      <c r="C89" s="16"/>
      <c r="D89" s="107"/>
      <c r="E89" s="107"/>
      <c r="F89" s="66"/>
      <c r="G89" s="72"/>
      <c r="H89" s="72"/>
      <c r="I89" s="70"/>
      <c r="J89" s="70"/>
      <c r="K89" s="70"/>
      <c r="L89" s="34"/>
      <c r="M89" s="34"/>
      <c r="N89" s="34"/>
      <c r="O89" s="34"/>
      <c r="P89" s="34"/>
      <c r="Q89" s="34"/>
      <c r="R89" s="55"/>
      <c r="S89" s="55"/>
      <c r="T89" s="55"/>
    </row>
    <row r="90" spans="1:20" x14ac:dyDescent="0.25">
      <c r="A90" s="39">
        <v>13</v>
      </c>
      <c r="B90" s="3" t="s">
        <v>19</v>
      </c>
      <c r="C90" s="40" t="s">
        <v>16</v>
      </c>
      <c r="D90" s="107">
        <v>6188.8</v>
      </c>
      <c r="E90" s="107">
        <v>6170</v>
      </c>
      <c r="F90" s="119">
        <v>9149.6215706328494</v>
      </c>
      <c r="G90" s="109">
        <v>9327.0137385972612</v>
      </c>
      <c r="H90" s="109">
        <v>9327.0137385972612</v>
      </c>
      <c r="I90" s="109">
        <f>F90*104.1%</f>
        <v>9524.7560550287963</v>
      </c>
      <c r="J90" s="109">
        <f>G90*104.4%</f>
        <v>9737.4023430955403</v>
      </c>
      <c r="K90" s="109">
        <f>H90*104.4%</f>
        <v>9737.4023430955403</v>
      </c>
      <c r="L90" s="109">
        <f>I90*104.1%</f>
        <v>9915.271053284976</v>
      </c>
      <c r="M90" s="109">
        <f>J90*104.3%</f>
        <v>10156.110643848648</v>
      </c>
      <c r="N90" s="109">
        <f>K90*104.3%</f>
        <v>10156.110643848648</v>
      </c>
      <c r="O90" s="109">
        <f>L90*104.1%</f>
        <v>10321.79716646966</v>
      </c>
      <c r="P90" s="72">
        <f>M90*104.3%</f>
        <v>10592.823401534139</v>
      </c>
      <c r="Q90" s="72">
        <f>N90*104.3%</f>
        <v>10592.823401534139</v>
      </c>
      <c r="R90" s="52"/>
      <c r="S90" s="52"/>
      <c r="T90" s="52"/>
    </row>
    <row r="91" spans="1:20" ht="78.75" x14ac:dyDescent="0.25">
      <c r="A91" s="39">
        <v>14</v>
      </c>
      <c r="B91" s="3" t="s">
        <v>20</v>
      </c>
      <c r="C91" s="40" t="s">
        <v>51</v>
      </c>
      <c r="D91" s="107">
        <v>147.51</v>
      </c>
      <c r="E91" s="107">
        <f>E90/D90/105.5*10000</f>
        <v>94.498791885785408</v>
      </c>
      <c r="F91" s="119">
        <v>100</v>
      </c>
      <c r="G91" s="109">
        <v>100</v>
      </c>
      <c r="H91" s="109">
        <v>100</v>
      </c>
      <c r="I91" s="109">
        <v>100</v>
      </c>
      <c r="J91" s="109">
        <v>100</v>
      </c>
      <c r="K91" s="109">
        <v>100</v>
      </c>
      <c r="L91" s="109">
        <v>100</v>
      </c>
      <c r="M91" s="109">
        <v>100</v>
      </c>
      <c r="N91" s="109">
        <v>100</v>
      </c>
      <c r="O91" s="109">
        <v>100</v>
      </c>
      <c r="P91" s="72">
        <v>100</v>
      </c>
      <c r="Q91" s="72">
        <v>100</v>
      </c>
      <c r="R91" s="52"/>
      <c r="S91" s="52"/>
      <c r="T91" s="52"/>
    </row>
    <row r="92" spans="1:20" x14ac:dyDescent="0.25">
      <c r="A92" s="39">
        <v>15</v>
      </c>
      <c r="B92" s="3" t="s">
        <v>21</v>
      </c>
      <c r="C92" s="40" t="s">
        <v>16</v>
      </c>
      <c r="D92" s="107">
        <v>560.32000000000005</v>
      </c>
      <c r="E92" s="107">
        <v>545</v>
      </c>
      <c r="F92" s="119">
        <v>779.42828152023753</v>
      </c>
      <c r="G92" s="109">
        <v>803.69487534162045</v>
      </c>
      <c r="H92" s="109">
        <v>803.70796035937235</v>
      </c>
      <c r="I92" s="109">
        <f>F92*104.1%</f>
        <v>811.38484106256726</v>
      </c>
      <c r="J92" s="109">
        <f>G92*104.4%</f>
        <v>839.05744985665183</v>
      </c>
      <c r="K92" s="109">
        <f>H92*104.4%</f>
        <v>839.07111061518481</v>
      </c>
      <c r="L92" s="109">
        <f>I92*104.1%</f>
        <v>844.65161954613245</v>
      </c>
      <c r="M92" s="109">
        <f>J92*104.3%</f>
        <v>875.13692020048779</v>
      </c>
      <c r="N92" s="109">
        <f>K92*104.3%</f>
        <v>875.15116837163771</v>
      </c>
      <c r="O92" s="109">
        <f>L92*104.1%</f>
        <v>879.28233594752385</v>
      </c>
      <c r="P92" s="72">
        <f>M92*104.3%</f>
        <v>912.76780776910869</v>
      </c>
      <c r="Q92" s="72">
        <f>N92*104.3%</f>
        <v>912.78266861161808</v>
      </c>
      <c r="R92" s="52"/>
      <c r="S92" s="52"/>
      <c r="T92" s="52"/>
    </row>
    <row r="93" spans="1:20" ht="78.75" x14ac:dyDescent="0.25">
      <c r="A93" s="39">
        <v>16</v>
      </c>
      <c r="B93" s="3" t="s">
        <v>22</v>
      </c>
      <c r="C93" s="40" t="s">
        <v>51</v>
      </c>
      <c r="D93" s="107">
        <v>81.77</v>
      </c>
      <c r="E93" s="107">
        <f>E92/D92/110.2*10000</f>
        <v>88.263020042475063</v>
      </c>
      <c r="F93" s="119">
        <v>100</v>
      </c>
      <c r="G93" s="109">
        <v>100</v>
      </c>
      <c r="H93" s="109">
        <v>100</v>
      </c>
      <c r="I93" s="109">
        <v>100</v>
      </c>
      <c r="J93" s="109">
        <v>100</v>
      </c>
      <c r="K93" s="109">
        <v>100</v>
      </c>
      <c r="L93" s="109">
        <v>100</v>
      </c>
      <c r="M93" s="109">
        <v>100</v>
      </c>
      <c r="N93" s="109">
        <v>100</v>
      </c>
      <c r="O93" s="109">
        <v>100</v>
      </c>
      <c r="P93" s="72">
        <v>100</v>
      </c>
      <c r="Q93" s="72">
        <v>100</v>
      </c>
      <c r="R93" s="52"/>
      <c r="S93" s="52"/>
      <c r="T93" s="52"/>
    </row>
    <row r="94" spans="1:20" ht="31.5" x14ac:dyDescent="0.25">
      <c r="A94" s="15"/>
      <c r="B94" s="17" t="s">
        <v>84</v>
      </c>
      <c r="C94" s="16"/>
      <c r="D94" s="43"/>
      <c r="E94" s="43"/>
      <c r="F94" s="35"/>
      <c r="G94" s="69"/>
      <c r="H94" s="69"/>
      <c r="I94" s="35"/>
      <c r="J94" s="35"/>
      <c r="K94" s="35"/>
      <c r="L94" s="38"/>
      <c r="M94" s="38"/>
      <c r="N94" s="38"/>
      <c r="O94" s="38"/>
      <c r="P94" s="38"/>
      <c r="Q94" s="38"/>
      <c r="R94" s="51"/>
      <c r="S94" s="51"/>
      <c r="T94" s="51"/>
    </row>
    <row r="95" spans="1:20" ht="63" x14ac:dyDescent="0.25">
      <c r="A95" s="39">
        <v>17</v>
      </c>
      <c r="B95" s="3" t="s">
        <v>23</v>
      </c>
      <c r="C95" s="40" t="s">
        <v>28</v>
      </c>
      <c r="D95" s="65">
        <v>22679.919999999998</v>
      </c>
      <c r="E95" s="65">
        <v>24494.31</v>
      </c>
      <c r="F95" s="66">
        <f>SUM(32648*F96/100)</f>
        <v>33627.440000000002</v>
      </c>
      <c r="G95" s="66">
        <f>SUM(32368.1*G96/100)</f>
        <v>33339.142999999996</v>
      </c>
      <c r="H95" s="66">
        <f>SUM(32368.1*H96/100)</f>
        <v>33339.142999999996</v>
      </c>
      <c r="I95" s="72">
        <f>SUM(F95*I96/100)</f>
        <v>34636.263200000001</v>
      </c>
      <c r="J95" s="72">
        <f t="shared" ref="J95:Q95" si="18">SUM(G95*J96/100)</f>
        <v>34339.317289999999</v>
      </c>
      <c r="K95" s="72">
        <f t="shared" si="18"/>
        <v>34339.317289999999</v>
      </c>
      <c r="L95" s="72">
        <f t="shared" si="18"/>
        <v>35675.351095999999</v>
      </c>
      <c r="M95" s="72">
        <f t="shared" si="18"/>
        <v>35369.496808700002</v>
      </c>
      <c r="N95" s="72">
        <f t="shared" si="18"/>
        <v>35369.496808700002</v>
      </c>
      <c r="O95" s="72">
        <f t="shared" si="18"/>
        <v>36745.611628879997</v>
      </c>
      <c r="P95" s="72">
        <f t="shared" si="18"/>
        <v>36430.581712961</v>
      </c>
      <c r="Q95" s="72">
        <f t="shared" si="18"/>
        <v>36430.581712961</v>
      </c>
      <c r="R95" s="56"/>
      <c r="S95" s="56"/>
      <c r="T95" s="56"/>
    </row>
    <row r="96" spans="1:20" ht="78.75" x14ac:dyDescent="0.25">
      <c r="A96" s="39">
        <v>18</v>
      </c>
      <c r="B96" s="3" t="s">
        <v>23</v>
      </c>
      <c r="C96" s="40" t="s">
        <v>52</v>
      </c>
      <c r="D96" s="65">
        <v>147</v>
      </c>
      <c r="E96" s="65">
        <v>108</v>
      </c>
      <c r="F96" s="66">
        <v>103</v>
      </c>
      <c r="G96" s="69">
        <v>103</v>
      </c>
      <c r="H96" s="69">
        <v>103</v>
      </c>
      <c r="I96" s="69">
        <v>103</v>
      </c>
      <c r="J96" s="69">
        <v>103</v>
      </c>
      <c r="K96" s="69">
        <v>103</v>
      </c>
      <c r="L96" s="69">
        <v>103</v>
      </c>
      <c r="M96" s="69">
        <v>103</v>
      </c>
      <c r="N96" s="69">
        <v>103</v>
      </c>
      <c r="O96" s="69">
        <v>103</v>
      </c>
      <c r="P96" s="69">
        <v>103</v>
      </c>
      <c r="Q96" s="69">
        <v>103</v>
      </c>
      <c r="R96" s="56"/>
      <c r="S96" s="56"/>
      <c r="T96" s="56"/>
    </row>
    <row r="97" spans="1:21" ht="31.5" x14ac:dyDescent="0.25">
      <c r="A97" s="39">
        <v>19</v>
      </c>
      <c r="B97" s="3" t="s">
        <v>87</v>
      </c>
      <c r="C97" s="40" t="s">
        <v>16</v>
      </c>
      <c r="D97" s="99">
        <v>609.54999999999995</v>
      </c>
      <c r="E97" s="74">
        <f>SUM(D97*E98/100)</f>
        <v>658.31399999999996</v>
      </c>
      <c r="F97" s="66">
        <f>SUM(876.6*F98/100)</f>
        <v>902.89800000000002</v>
      </c>
      <c r="G97" s="72">
        <f>SUM(869.93*G98/100)</f>
        <v>896.02789999999993</v>
      </c>
      <c r="H97" s="72">
        <f>SUM(869.93*H98/100)</f>
        <v>896.02789999999993</v>
      </c>
      <c r="I97" s="72">
        <f>SUM(F97*I98/100)</f>
        <v>929.98494000000005</v>
      </c>
      <c r="J97" s="72">
        <f>SUM(G97*J98/100)</f>
        <v>922.90873699999997</v>
      </c>
      <c r="K97" s="72">
        <f>SUM(H97*K98/100)</f>
        <v>922.90873699999997</v>
      </c>
      <c r="L97" s="72">
        <f t="shared" ref="L97:Q97" si="19">SUM(I97*L98/100)</f>
        <v>957.88448820000008</v>
      </c>
      <c r="M97" s="72">
        <f t="shared" si="19"/>
        <v>950.59599910999998</v>
      </c>
      <c r="N97" s="72">
        <f t="shared" si="19"/>
        <v>950.59599910999998</v>
      </c>
      <c r="O97" s="72">
        <f t="shared" si="19"/>
        <v>986.62102284600007</v>
      </c>
      <c r="P97" s="72">
        <f t="shared" si="19"/>
        <v>979.11387908329993</v>
      </c>
      <c r="Q97" s="72">
        <f t="shared" si="19"/>
        <v>979.11387908329993</v>
      </c>
      <c r="R97" s="51"/>
      <c r="S97" s="51"/>
      <c r="T97" s="51"/>
    </row>
    <row r="98" spans="1:21" ht="78.75" x14ac:dyDescent="0.25">
      <c r="A98" s="39">
        <v>20</v>
      </c>
      <c r="B98" s="3" t="s">
        <v>87</v>
      </c>
      <c r="C98" s="40" t="s">
        <v>52</v>
      </c>
      <c r="D98" s="99">
        <v>179.3</v>
      </c>
      <c r="E98" s="75">
        <v>108</v>
      </c>
      <c r="F98" s="66">
        <v>103</v>
      </c>
      <c r="G98" s="69">
        <v>103</v>
      </c>
      <c r="H98" s="69">
        <v>103</v>
      </c>
      <c r="I98" s="69">
        <v>103</v>
      </c>
      <c r="J98" s="69">
        <v>103</v>
      </c>
      <c r="K98" s="69">
        <v>103</v>
      </c>
      <c r="L98" s="69">
        <v>103</v>
      </c>
      <c r="M98" s="69">
        <v>103</v>
      </c>
      <c r="N98" s="69">
        <v>103</v>
      </c>
      <c r="O98" s="69">
        <v>103</v>
      </c>
      <c r="P98" s="69">
        <v>103</v>
      </c>
      <c r="Q98" s="69">
        <v>103</v>
      </c>
      <c r="R98" s="56"/>
      <c r="S98" s="56"/>
      <c r="T98" s="56"/>
    </row>
    <row r="99" spans="1:21" ht="31.5" x14ac:dyDescent="0.25">
      <c r="A99" s="39"/>
      <c r="B99" s="17" t="s">
        <v>54</v>
      </c>
      <c r="C99" s="16"/>
      <c r="D99" s="43"/>
      <c r="E99" s="43"/>
      <c r="F99" s="73"/>
      <c r="G99" s="69"/>
      <c r="H99" s="69"/>
      <c r="I99" s="35"/>
      <c r="J99" s="35"/>
      <c r="K99" s="35"/>
      <c r="L99" s="69"/>
      <c r="M99" s="69"/>
      <c r="N99" s="69"/>
      <c r="O99" s="69"/>
      <c r="P99" s="69"/>
      <c r="Q99" s="69"/>
      <c r="R99" s="56"/>
      <c r="S99" s="56"/>
      <c r="T99" s="56"/>
    </row>
    <row r="100" spans="1:21" s="37" customFormat="1" ht="31.5" x14ac:dyDescent="0.25">
      <c r="A100" s="39">
        <v>21</v>
      </c>
      <c r="B100" s="3" t="s">
        <v>24</v>
      </c>
      <c r="C100" s="40" t="s">
        <v>16</v>
      </c>
      <c r="D100" s="65">
        <v>4520.07</v>
      </c>
      <c r="E100" s="64">
        <f>SUM(D100*E101/100)</f>
        <v>4895.2358099999992</v>
      </c>
      <c r="F100" s="70">
        <f>SUM(6674.73*F101/100)</f>
        <v>6888.321359999999</v>
      </c>
      <c r="G100" s="72">
        <f>SUM(6680.48*G101/100)</f>
        <v>6894.2553599999992</v>
      </c>
      <c r="H100" s="72">
        <f>SUM(6680.48*H101/100)</f>
        <v>6894.2553599999992</v>
      </c>
      <c r="I100" s="70">
        <f>SUM(F100*I101/100)</f>
        <v>7108.7476435199997</v>
      </c>
      <c r="J100" s="70">
        <f t="shared" ref="J100:Q100" si="20">SUM(G100*J101/100)</f>
        <v>7114.8715315199988</v>
      </c>
      <c r="K100" s="70">
        <f t="shared" si="20"/>
        <v>7114.8715315199988</v>
      </c>
      <c r="L100" s="70">
        <f t="shared" si="20"/>
        <v>7336.2275681126393</v>
      </c>
      <c r="M100" s="70">
        <f t="shared" si="20"/>
        <v>7342.5474205286391</v>
      </c>
      <c r="N100" s="70">
        <f t="shared" si="20"/>
        <v>7342.5474205286391</v>
      </c>
      <c r="O100" s="70">
        <f t="shared" si="20"/>
        <v>7570.9868502922436</v>
      </c>
      <c r="P100" s="70">
        <f t="shared" si="20"/>
        <v>7577.5089379855563</v>
      </c>
      <c r="Q100" s="70">
        <f t="shared" si="20"/>
        <v>7577.5089379855563</v>
      </c>
      <c r="R100" s="51"/>
      <c r="S100" s="51"/>
      <c r="T100" s="51"/>
    </row>
    <row r="101" spans="1:21" ht="78.75" x14ac:dyDescent="0.25">
      <c r="A101" s="39">
        <v>22</v>
      </c>
      <c r="B101" s="3" t="s">
        <v>24</v>
      </c>
      <c r="C101" s="40" t="s">
        <v>51</v>
      </c>
      <c r="D101" s="64">
        <v>115</v>
      </c>
      <c r="E101" s="65">
        <v>108.3</v>
      </c>
      <c r="F101" s="71">
        <v>103.2</v>
      </c>
      <c r="G101" s="69">
        <v>103.2</v>
      </c>
      <c r="H101" s="69">
        <v>103.2</v>
      </c>
      <c r="I101" s="35">
        <v>103.2</v>
      </c>
      <c r="J101" s="35">
        <v>103.2</v>
      </c>
      <c r="K101" s="35">
        <v>103.2</v>
      </c>
      <c r="L101" s="69">
        <v>103.2</v>
      </c>
      <c r="M101" s="69">
        <v>103.2</v>
      </c>
      <c r="N101" s="69">
        <v>103.2</v>
      </c>
      <c r="O101" s="69">
        <v>103.2</v>
      </c>
      <c r="P101" s="69">
        <v>103.2</v>
      </c>
      <c r="Q101" s="69">
        <v>103.2</v>
      </c>
      <c r="R101" s="56"/>
      <c r="S101" s="56"/>
      <c r="T101" s="56"/>
    </row>
    <row r="102" spans="1:21" ht="31.5" x14ac:dyDescent="0.25">
      <c r="A102" s="15"/>
      <c r="B102" s="17" t="s">
        <v>88</v>
      </c>
      <c r="C102" s="16"/>
      <c r="D102" s="43"/>
      <c r="E102" s="43"/>
      <c r="F102" s="67"/>
      <c r="G102" s="111"/>
      <c r="H102" s="111"/>
      <c r="I102" s="120"/>
      <c r="J102" s="120"/>
      <c r="K102" s="120"/>
      <c r="L102" s="111"/>
      <c r="M102" s="111"/>
      <c r="N102" s="111"/>
      <c r="O102" s="111"/>
      <c r="P102" s="111"/>
      <c r="Q102" s="111"/>
      <c r="R102" s="57"/>
      <c r="S102" s="57"/>
      <c r="T102" s="57"/>
    </row>
    <row r="103" spans="1:21" ht="67.5" customHeight="1" x14ac:dyDescent="0.25">
      <c r="A103" s="9">
        <v>23</v>
      </c>
      <c r="B103" s="8" t="s">
        <v>56</v>
      </c>
      <c r="C103" s="41" t="s">
        <v>28</v>
      </c>
      <c r="D103" s="65">
        <v>18372.27</v>
      </c>
      <c r="E103" s="112">
        <v>19959.400000000001</v>
      </c>
      <c r="F103" s="66">
        <v>30711.84853151867</v>
      </c>
      <c r="G103" s="72">
        <f>F103*104/100</f>
        <v>31940.322472779415</v>
      </c>
      <c r="H103" s="72">
        <f t="shared" ref="H103:Q103" si="21">G103*104/100</f>
        <v>33217.93537169059</v>
      </c>
      <c r="I103" s="72">
        <f t="shared" si="21"/>
        <v>34546.652786558217</v>
      </c>
      <c r="J103" s="72">
        <f t="shared" si="21"/>
        <v>35928.518898020542</v>
      </c>
      <c r="K103" s="72">
        <f t="shared" si="21"/>
        <v>37365.659653941366</v>
      </c>
      <c r="L103" s="72">
        <f t="shared" si="21"/>
        <v>38860.286040099018</v>
      </c>
      <c r="M103" s="72">
        <f t="shared" si="21"/>
        <v>40414.697481702977</v>
      </c>
      <c r="N103" s="72">
        <f t="shared" si="21"/>
        <v>42031.285380971094</v>
      </c>
      <c r="O103" s="72">
        <f t="shared" si="21"/>
        <v>43712.536796209941</v>
      </c>
      <c r="P103" s="72">
        <f t="shared" si="21"/>
        <v>45461.038268058335</v>
      </c>
      <c r="Q103" s="72">
        <f t="shared" si="21"/>
        <v>47279.479798780667</v>
      </c>
      <c r="R103" s="56"/>
      <c r="S103" s="56"/>
      <c r="T103" s="56"/>
    </row>
    <row r="104" spans="1:21" ht="78.75" x14ac:dyDescent="0.25">
      <c r="A104" s="9">
        <v>24</v>
      </c>
      <c r="B104" s="8" t="s">
        <v>25</v>
      </c>
      <c r="C104" s="40" t="s">
        <v>51</v>
      </c>
      <c r="D104" s="112">
        <v>125.51633736248839</v>
      </c>
      <c r="E104" s="112">
        <f>E103/D103/107.4*10000</f>
        <v>101.15337583303614</v>
      </c>
      <c r="F104" s="121">
        <f t="shared" ref="F104:Q104" si="22">F103/E103/107.4*10000</f>
        <v>143.26964805369923</v>
      </c>
      <c r="G104" s="121">
        <f t="shared" si="22"/>
        <v>96.834264432029798</v>
      </c>
      <c r="H104" s="121">
        <f t="shared" si="22"/>
        <v>96.834264432029798</v>
      </c>
      <c r="I104" s="121">
        <f t="shared" si="22"/>
        <v>96.834264432029798</v>
      </c>
      <c r="J104" s="121">
        <f t="shared" si="22"/>
        <v>96.834264432029784</v>
      </c>
      <c r="K104" s="121">
        <f t="shared" si="22"/>
        <v>96.834264432029798</v>
      </c>
      <c r="L104" s="121">
        <f t="shared" si="22"/>
        <v>96.834264432029784</v>
      </c>
      <c r="M104" s="121">
        <f t="shared" si="22"/>
        <v>96.834264432029798</v>
      </c>
      <c r="N104" s="121">
        <f t="shared" si="22"/>
        <v>96.834264432029798</v>
      </c>
      <c r="O104" s="121">
        <f t="shared" si="22"/>
        <v>96.834264432029798</v>
      </c>
      <c r="P104" s="121">
        <f t="shared" si="22"/>
        <v>96.834264432029798</v>
      </c>
      <c r="Q104" s="121">
        <f t="shared" si="22"/>
        <v>96.834264432029798</v>
      </c>
      <c r="R104" s="57"/>
      <c r="S104" s="57"/>
      <c r="T104" s="57"/>
    </row>
    <row r="105" spans="1:21" ht="142.5" customHeight="1" x14ac:dyDescent="0.25">
      <c r="A105" s="9">
        <v>25</v>
      </c>
      <c r="B105" s="19" t="s">
        <v>57</v>
      </c>
      <c r="C105" s="20" t="s">
        <v>58</v>
      </c>
      <c r="D105" s="65">
        <v>5867.4</v>
      </c>
      <c r="E105" s="112">
        <v>13505.3</v>
      </c>
      <c r="F105" s="66">
        <v>20515.045587607681</v>
      </c>
      <c r="G105" s="72">
        <f>F105*104/100</f>
        <v>21335.64741111199</v>
      </c>
      <c r="H105" s="72">
        <f t="shared" ref="H105:Q105" si="23">G105*104/100</f>
        <v>22189.073307556468</v>
      </c>
      <c r="I105" s="72">
        <f t="shared" si="23"/>
        <v>23076.636239858726</v>
      </c>
      <c r="J105" s="72">
        <f t="shared" si="23"/>
        <v>23999.701689453075</v>
      </c>
      <c r="K105" s="72">
        <f t="shared" si="23"/>
        <v>24959.689757031199</v>
      </c>
      <c r="L105" s="72">
        <f t="shared" si="23"/>
        <v>25958.07734731245</v>
      </c>
      <c r="M105" s="72">
        <f t="shared" si="23"/>
        <v>26996.400441204947</v>
      </c>
      <c r="N105" s="72">
        <f t="shared" si="23"/>
        <v>28076.256458853142</v>
      </c>
      <c r="O105" s="72">
        <f t="shared" si="23"/>
        <v>29199.30671720727</v>
      </c>
      <c r="P105" s="72">
        <f t="shared" si="23"/>
        <v>30367.278985895562</v>
      </c>
      <c r="Q105" s="72">
        <f t="shared" si="23"/>
        <v>31581.970145331383</v>
      </c>
      <c r="R105" s="52"/>
      <c r="S105" s="52"/>
      <c r="T105" s="52"/>
    </row>
    <row r="106" spans="1:21" ht="78.75" x14ac:dyDescent="0.25">
      <c r="A106" s="9">
        <v>26</v>
      </c>
      <c r="B106" s="19" t="s">
        <v>59</v>
      </c>
      <c r="C106" s="20" t="s">
        <v>101</v>
      </c>
      <c r="D106" s="65">
        <v>131.28</v>
      </c>
      <c r="E106" s="112">
        <f>E105/D105/107.4*10000</f>
        <v>214.31583367975398</v>
      </c>
      <c r="F106" s="121">
        <f t="shared" ref="F106:Q106" si="24">F105/E105/107.4*10000</f>
        <v>141.43730390643987</v>
      </c>
      <c r="G106" s="121">
        <f t="shared" si="24"/>
        <v>96.834264432029798</v>
      </c>
      <c r="H106" s="121">
        <f t="shared" si="24"/>
        <v>96.834264432029798</v>
      </c>
      <c r="I106" s="121">
        <f t="shared" si="24"/>
        <v>96.834264432029798</v>
      </c>
      <c r="J106" s="121">
        <f t="shared" si="24"/>
        <v>96.834264432029798</v>
      </c>
      <c r="K106" s="121">
        <f t="shared" si="24"/>
        <v>96.834264432029798</v>
      </c>
      <c r="L106" s="121">
        <f t="shared" si="24"/>
        <v>96.834264432029798</v>
      </c>
      <c r="M106" s="121">
        <f t="shared" si="24"/>
        <v>96.834264432029798</v>
      </c>
      <c r="N106" s="121">
        <f t="shared" si="24"/>
        <v>96.834264432029784</v>
      </c>
      <c r="O106" s="121">
        <f t="shared" si="24"/>
        <v>96.834264432029798</v>
      </c>
      <c r="P106" s="121">
        <f t="shared" si="24"/>
        <v>96.834264432029798</v>
      </c>
      <c r="Q106" s="121">
        <f t="shared" si="24"/>
        <v>96.834264432029798</v>
      </c>
      <c r="R106" s="51"/>
      <c r="S106" s="51"/>
      <c r="T106" s="51"/>
    </row>
    <row r="107" spans="1:21" ht="47.25" x14ac:dyDescent="0.25">
      <c r="A107" s="35">
        <v>27</v>
      </c>
      <c r="B107" s="15" t="s">
        <v>26</v>
      </c>
      <c r="C107" s="35" t="s">
        <v>27</v>
      </c>
      <c r="D107" s="35">
        <v>65.91</v>
      </c>
      <c r="E107" s="35">
        <v>58.5</v>
      </c>
      <c r="F107" s="35">
        <v>99</v>
      </c>
      <c r="G107" s="35">
        <v>99</v>
      </c>
      <c r="H107" s="35">
        <v>99</v>
      </c>
      <c r="I107" s="35">
        <v>100</v>
      </c>
      <c r="J107" s="35">
        <v>100</v>
      </c>
      <c r="K107" s="35">
        <v>100</v>
      </c>
      <c r="L107" s="35">
        <v>105</v>
      </c>
      <c r="M107" s="35">
        <v>105</v>
      </c>
      <c r="N107" s="35">
        <v>105</v>
      </c>
      <c r="O107" s="35">
        <v>120</v>
      </c>
      <c r="P107" s="35">
        <v>120</v>
      </c>
      <c r="Q107" s="35">
        <v>120</v>
      </c>
      <c r="R107" s="56"/>
      <c r="S107" s="56"/>
      <c r="T107" s="56"/>
    </row>
    <row r="108" spans="1:21" ht="33" customHeight="1" x14ac:dyDescent="0.25">
      <c r="A108" s="15"/>
      <c r="B108" s="17" t="s">
        <v>89</v>
      </c>
      <c r="C108" s="16"/>
      <c r="D108" s="43"/>
      <c r="E108" s="43"/>
      <c r="F108" s="113"/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56"/>
      <c r="S108" s="56"/>
      <c r="T108" s="56"/>
      <c r="U108" s="4"/>
    </row>
    <row r="109" spans="1:21" ht="36" customHeight="1" x14ac:dyDescent="0.25">
      <c r="A109" s="35">
        <v>28</v>
      </c>
      <c r="B109" s="15" t="s">
        <v>60</v>
      </c>
      <c r="C109" s="16" t="s">
        <v>61</v>
      </c>
      <c r="D109" s="35">
        <v>102.4</v>
      </c>
      <c r="E109" s="35">
        <v>102.5</v>
      </c>
      <c r="F109" s="35">
        <v>102.5</v>
      </c>
      <c r="G109" s="69">
        <v>102.6</v>
      </c>
      <c r="H109" s="69">
        <v>102.6</v>
      </c>
      <c r="I109" s="35">
        <v>102.5</v>
      </c>
      <c r="J109" s="35">
        <v>102.6</v>
      </c>
      <c r="K109" s="35">
        <v>102.6</v>
      </c>
      <c r="L109" s="69">
        <v>102.6</v>
      </c>
      <c r="M109" s="69">
        <v>102.7</v>
      </c>
      <c r="N109" s="69">
        <v>102.7</v>
      </c>
      <c r="O109" s="69">
        <v>102.6</v>
      </c>
      <c r="P109" s="69">
        <v>102.8</v>
      </c>
      <c r="Q109" s="69">
        <v>102.8</v>
      </c>
      <c r="R109" s="51"/>
      <c r="S109" s="51"/>
      <c r="T109" s="51"/>
    </row>
    <row r="110" spans="1:21" ht="65.25" customHeight="1" x14ac:dyDescent="0.25">
      <c r="A110" s="35">
        <v>29</v>
      </c>
      <c r="B110" s="15" t="s">
        <v>62</v>
      </c>
      <c r="C110" s="16" t="s">
        <v>55</v>
      </c>
      <c r="D110" s="43">
        <v>29.5</v>
      </c>
      <c r="E110" s="43">
        <v>29.7</v>
      </c>
      <c r="F110" s="76">
        <v>28.7</v>
      </c>
      <c r="G110" s="76">
        <v>28.7</v>
      </c>
      <c r="H110" s="76">
        <v>28.7</v>
      </c>
      <c r="I110" s="76">
        <v>28.6</v>
      </c>
      <c r="J110" s="76">
        <v>28.6</v>
      </c>
      <c r="K110" s="76">
        <v>28.6</v>
      </c>
      <c r="L110" s="76">
        <v>28.4</v>
      </c>
      <c r="M110" s="76">
        <v>28.4</v>
      </c>
      <c r="N110" s="76">
        <v>28.4</v>
      </c>
      <c r="O110" s="76">
        <v>28.3</v>
      </c>
      <c r="P110" s="76">
        <v>28.3</v>
      </c>
      <c r="Q110" s="76">
        <v>28.3</v>
      </c>
      <c r="R110" s="58"/>
      <c r="S110" s="58"/>
      <c r="T110" s="58"/>
    </row>
    <row r="111" spans="1:21" x14ac:dyDescent="0.25">
      <c r="A111" s="15"/>
      <c r="B111" s="17" t="s">
        <v>90</v>
      </c>
      <c r="C111" s="16"/>
      <c r="D111" s="43"/>
      <c r="E111" s="43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59"/>
      <c r="S111" s="59"/>
      <c r="T111" s="59"/>
    </row>
    <row r="112" spans="1:21" ht="63" x14ac:dyDescent="0.25">
      <c r="A112" s="39">
        <v>30</v>
      </c>
      <c r="B112" s="24" t="s">
        <v>63</v>
      </c>
      <c r="C112" s="25" t="s">
        <v>64</v>
      </c>
      <c r="D112" s="81">
        <v>53145.5</v>
      </c>
      <c r="E112" s="81">
        <v>62871.13</v>
      </c>
      <c r="F112" s="76">
        <v>117203.75142567931</v>
      </c>
      <c r="G112" s="77">
        <f>F112*G113/100</f>
        <v>120133.84521132128</v>
      </c>
      <c r="H112" s="77">
        <f t="shared" ref="H112:I112" si="25">G112*H113/100</f>
        <v>123137.19134160431</v>
      </c>
      <c r="I112" s="77">
        <f t="shared" si="25"/>
        <v>126215.62112514442</v>
      </c>
      <c r="J112" s="77">
        <f>I112*100.2/100</f>
        <v>126468.05236739472</v>
      </c>
      <c r="K112" s="77">
        <f t="shared" ref="K112:Q112" si="26">J112*100.2/100</f>
        <v>126720.98847212951</v>
      </c>
      <c r="L112" s="77">
        <f t="shared" si="26"/>
        <v>126974.43044907378</v>
      </c>
      <c r="M112" s="77">
        <f t="shared" si="26"/>
        <v>127228.37930997193</v>
      </c>
      <c r="N112" s="77">
        <f t="shared" si="26"/>
        <v>127482.83606859189</v>
      </c>
      <c r="O112" s="77">
        <f t="shared" si="26"/>
        <v>127737.80174072908</v>
      </c>
      <c r="P112" s="77">
        <f t="shared" si="26"/>
        <v>127993.27734421054</v>
      </c>
      <c r="Q112" s="77">
        <f t="shared" si="26"/>
        <v>128249.26389889896</v>
      </c>
      <c r="R112" s="59"/>
      <c r="S112" s="59"/>
      <c r="T112" s="59"/>
    </row>
    <row r="113" spans="1:21" ht="66.75" customHeight="1" x14ac:dyDescent="0.25">
      <c r="A113" s="39">
        <v>31</v>
      </c>
      <c r="B113" s="24" t="s">
        <v>91</v>
      </c>
      <c r="C113" s="25" t="s">
        <v>61</v>
      </c>
      <c r="D113" s="81">
        <v>114.4</v>
      </c>
      <c r="E113" s="81">
        <v>118.3</v>
      </c>
      <c r="F113" s="35">
        <v>102.5</v>
      </c>
      <c r="G113" s="35">
        <v>102.5</v>
      </c>
      <c r="H113" s="35">
        <v>102.5</v>
      </c>
      <c r="I113" s="35">
        <v>102.5</v>
      </c>
      <c r="J113" s="35">
        <v>102.6</v>
      </c>
      <c r="K113" s="35">
        <v>102.5</v>
      </c>
      <c r="L113" s="35">
        <v>102.8</v>
      </c>
      <c r="M113" s="35">
        <v>102.6</v>
      </c>
      <c r="N113" s="35">
        <v>102.5</v>
      </c>
      <c r="O113" s="35">
        <v>102.8</v>
      </c>
      <c r="P113" s="35">
        <v>102.6</v>
      </c>
      <c r="Q113" s="35">
        <v>102.5</v>
      </c>
      <c r="R113" s="59"/>
      <c r="S113" s="59"/>
      <c r="T113" s="59"/>
    </row>
    <row r="114" spans="1:21" ht="39" customHeight="1" x14ac:dyDescent="0.25">
      <c r="A114" s="39">
        <v>32</v>
      </c>
      <c r="B114" s="24" t="s">
        <v>65</v>
      </c>
      <c r="C114" s="26" t="s">
        <v>55</v>
      </c>
      <c r="D114" s="81">
        <v>0.25</v>
      </c>
      <c r="E114" s="75">
        <v>0.2</v>
      </c>
      <c r="F114" s="78">
        <v>0.2</v>
      </c>
      <c r="G114" s="78">
        <v>0.2</v>
      </c>
      <c r="H114" s="78">
        <v>0.2</v>
      </c>
      <c r="I114" s="78">
        <v>0.2</v>
      </c>
      <c r="J114" s="78">
        <v>0.2</v>
      </c>
      <c r="K114" s="78">
        <v>0.2</v>
      </c>
      <c r="L114" s="78">
        <v>0.2</v>
      </c>
      <c r="M114" s="78">
        <v>0.2</v>
      </c>
      <c r="N114" s="78">
        <v>0.2</v>
      </c>
      <c r="O114" s="78">
        <v>0.2</v>
      </c>
      <c r="P114" s="78">
        <v>0.2</v>
      </c>
      <c r="Q114" s="78">
        <v>0.2</v>
      </c>
      <c r="R114" s="56"/>
      <c r="S114" s="56"/>
      <c r="T114" s="56"/>
    </row>
    <row r="115" spans="1:21" ht="31.5" x14ac:dyDescent="0.25">
      <c r="A115" s="39">
        <v>33</v>
      </c>
      <c r="B115" s="24" t="s">
        <v>66</v>
      </c>
      <c r="C115" s="25" t="s">
        <v>67</v>
      </c>
      <c r="D115" s="81">
        <v>20.73</v>
      </c>
      <c r="E115" s="81">
        <v>20.72</v>
      </c>
      <c r="F115" s="76">
        <v>19.100000000000001</v>
      </c>
      <c r="G115" s="76">
        <v>19.100000000000001</v>
      </c>
      <c r="H115" s="76">
        <v>19.100000000000001</v>
      </c>
      <c r="I115" s="76">
        <v>19.100000000000001</v>
      </c>
      <c r="J115" s="76">
        <v>19.100000000000001</v>
      </c>
      <c r="K115" s="76">
        <v>19.100000000000001</v>
      </c>
      <c r="L115" s="76">
        <v>19.100000000000001</v>
      </c>
      <c r="M115" s="76">
        <v>19.100000000000001</v>
      </c>
      <c r="N115" s="76">
        <v>19.100000000000001</v>
      </c>
      <c r="O115" s="76">
        <v>19.100000000000001</v>
      </c>
      <c r="P115" s="76">
        <v>19.100000000000001</v>
      </c>
      <c r="Q115" s="76">
        <v>19.100000000000001</v>
      </c>
      <c r="R115" s="58"/>
      <c r="S115" s="58"/>
      <c r="T115" s="58"/>
    </row>
    <row r="116" spans="1:21" ht="81" customHeight="1" x14ac:dyDescent="0.25">
      <c r="A116" s="39">
        <v>34</v>
      </c>
      <c r="B116" s="24" t="s">
        <v>68</v>
      </c>
      <c r="C116" s="25" t="s">
        <v>67</v>
      </c>
      <c r="D116" s="81">
        <v>0.19</v>
      </c>
      <c r="E116" s="75">
        <v>0.14000000000000001</v>
      </c>
      <c r="F116" s="78">
        <v>0.2</v>
      </c>
      <c r="G116" s="78">
        <v>0.2</v>
      </c>
      <c r="H116" s="78">
        <v>0.2</v>
      </c>
      <c r="I116" s="78">
        <v>0.2</v>
      </c>
      <c r="J116" s="78">
        <v>0.2</v>
      </c>
      <c r="K116" s="78">
        <v>0.2</v>
      </c>
      <c r="L116" s="78">
        <v>0.2</v>
      </c>
      <c r="M116" s="78">
        <v>0.2</v>
      </c>
      <c r="N116" s="78">
        <v>0.2</v>
      </c>
      <c r="O116" s="78">
        <v>0.2</v>
      </c>
      <c r="P116" s="78">
        <v>0.2</v>
      </c>
      <c r="Q116" s="78">
        <v>0.2</v>
      </c>
      <c r="R116" s="60"/>
      <c r="S116" s="60"/>
      <c r="T116" s="60"/>
    </row>
    <row r="117" spans="1:21" ht="31.5" x14ac:dyDescent="0.25">
      <c r="A117" s="39">
        <v>35</v>
      </c>
      <c r="B117" s="24" t="s">
        <v>69</v>
      </c>
      <c r="C117" s="25" t="s">
        <v>70</v>
      </c>
      <c r="D117" s="81">
        <v>15286.7</v>
      </c>
      <c r="E117" s="81">
        <v>18084.169999999998</v>
      </c>
      <c r="F117" s="77">
        <v>25026.655335113206</v>
      </c>
      <c r="G117" s="77">
        <v>25652.321718491035</v>
      </c>
      <c r="H117" s="77">
        <v>26293.629761453314</v>
      </c>
      <c r="I117" s="77">
        <f>H117*I118/100</f>
        <v>26950.970505489648</v>
      </c>
      <c r="J117" s="77">
        <f>G117*J118/100</f>
        <v>26319.282083171802</v>
      </c>
      <c r="K117" s="77">
        <f t="shared" ref="K117:Q117" si="27">H117*K118/100</f>
        <v>26950.970505489648</v>
      </c>
      <c r="L117" s="77">
        <f t="shared" si="27"/>
        <v>27705.597679643357</v>
      </c>
      <c r="M117" s="77">
        <f t="shared" si="27"/>
        <v>27003.583417334266</v>
      </c>
      <c r="N117" s="77">
        <f t="shared" si="27"/>
        <v>27624.74476812689</v>
      </c>
      <c r="O117" s="77">
        <f t="shared" si="27"/>
        <v>28481.354414673369</v>
      </c>
      <c r="P117" s="77">
        <f t="shared" si="27"/>
        <v>27705.676586184956</v>
      </c>
      <c r="Q117" s="77">
        <f t="shared" si="27"/>
        <v>28315.363387330064</v>
      </c>
      <c r="R117" s="59"/>
      <c r="S117" s="59"/>
      <c r="T117" s="59"/>
    </row>
    <row r="118" spans="1:21" ht="47.25" x14ac:dyDescent="0.25">
      <c r="A118" s="39">
        <v>36</v>
      </c>
      <c r="B118" s="24" t="s">
        <v>71</v>
      </c>
      <c r="C118" s="25" t="s">
        <v>61</v>
      </c>
      <c r="D118" s="81">
        <v>114.4</v>
      </c>
      <c r="E118" s="81">
        <v>118.3</v>
      </c>
      <c r="F118" s="35">
        <v>102.5</v>
      </c>
      <c r="G118" s="35">
        <v>102.5</v>
      </c>
      <c r="H118" s="35">
        <v>102.5</v>
      </c>
      <c r="I118" s="35">
        <v>102.5</v>
      </c>
      <c r="J118" s="35">
        <v>102.6</v>
      </c>
      <c r="K118" s="35">
        <v>102.5</v>
      </c>
      <c r="L118" s="35">
        <v>102.8</v>
      </c>
      <c r="M118" s="35">
        <v>102.6</v>
      </c>
      <c r="N118" s="35">
        <v>102.5</v>
      </c>
      <c r="O118" s="35">
        <v>102.8</v>
      </c>
      <c r="P118" s="35">
        <v>102.6</v>
      </c>
      <c r="Q118" s="35">
        <v>102.5</v>
      </c>
      <c r="R118" s="61"/>
      <c r="S118" s="61"/>
      <c r="T118" s="61"/>
    </row>
    <row r="119" spans="1:21" ht="63" x14ac:dyDescent="0.25">
      <c r="A119" s="39">
        <v>37</v>
      </c>
      <c r="B119" s="22" t="s">
        <v>72</v>
      </c>
      <c r="C119" s="27" t="s">
        <v>67</v>
      </c>
      <c r="D119" s="78">
        <v>23.97</v>
      </c>
      <c r="E119" s="81">
        <v>24.03</v>
      </c>
      <c r="F119" s="79">
        <v>25.4</v>
      </c>
      <c r="G119" s="79">
        <v>25.4</v>
      </c>
      <c r="H119" s="79">
        <v>25.4</v>
      </c>
      <c r="I119" s="69">
        <v>25.5</v>
      </c>
      <c r="J119" s="69">
        <v>25.5</v>
      </c>
      <c r="K119" s="69">
        <v>25.5</v>
      </c>
      <c r="L119" s="69">
        <v>25.5</v>
      </c>
      <c r="M119" s="69">
        <v>25.5</v>
      </c>
      <c r="N119" s="69">
        <v>25.5</v>
      </c>
      <c r="O119" s="69">
        <v>25.5</v>
      </c>
      <c r="P119" s="69">
        <v>25.5</v>
      </c>
      <c r="Q119" s="69">
        <v>25.5</v>
      </c>
      <c r="R119" s="59"/>
      <c r="S119" s="59"/>
      <c r="T119" s="59"/>
    </row>
    <row r="120" spans="1:21" ht="31.5" x14ac:dyDescent="0.25">
      <c r="A120" s="15"/>
      <c r="B120" s="17" t="s">
        <v>92</v>
      </c>
      <c r="C120" s="16"/>
      <c r="D120" s="99"/>
      <c r="E120" s="99"/>
      <c r="F120" s="79"/>
      <c r="G120" s="69"/>
      <c r="H120" s="69"/>
      <c r="I120" s="35"/>
      <c r="J120" s="35"/>
      <c r="K120" s="35"/>
      <c r="L120" s="69"/>
      <c r="M120" s="79"/>
      <c r="N120" s="79"/>
      <c r="O120" s="79"/>
      <c r="P120" s="79"/>
      <c r="Q120" s="79"/>
      <c r="R120" s="59"/>
      <c r="S120" s="59"/>
      <c r="T120" s="59"/>
      <c r="U120" s="29"/>
    </row>
    <row r="121" spans="1:21" ht="51.75" customHeight="1" x14ac:dyDescent="0.25">
      <c r="A121" s="39">
        <v>38</v>
      </c>
      <c r="B121" s="22" t="s">
        <v>73</v>
      </c>
      <c r="C121" s="20" t="s">
        <v>74</v>
      </c>
      <c r="D121" s="75">
        <v>6093</v>
      </c>
      <c r="E121" s="78">
        <v>5950</v>
      </c>
      <c r="F121" s="69">
        <v>6500</v>
      </c>
      <c r="G121" s="69">
        <v>6500</v>
      </c>
      <c r="H121" s="69">
        <v>6500</v>
      </c>
      <c r="I121" s="79">
        <v>6600</v>
      </c>
      <c r="J121" s="79">
        <v>6600</v>
      </c>
      <c r="K121" s="79">
        <v>6600</v>
      </c>
      <c r="L121" s="79">
        <v>6600</v>
      </c>
      <c r="M121" s="79">
        <v>6600</v>
      </c>
      <c r="N121" s="79">
        <v>6600</v>
      </c>
      <c r="O121" s="79">
        <v>6600</v>
      </c>
      <c r="P121" s="79">
        <v>6600</v>
      </c>
      <c r="Q121" s="79">
        <v>6600</v>
      </c>
      <c r="R121" s="59"/>
      <c r="S121" s="59"/>
      <c r="T121" s="59"/>
      <c r="U121" s="29"/>
    </row>
    <row r="122" spans="1:21" x14ac:dyDescent="0.25">
      <c r="A122" s="35"/>
      <c r="B122" s="19" t="s">
        <v>75</v>
      </c>
      <c r="C122" s="44"/>
      <c r="D122" s="75"/>
      <c r="E122" s="75"/>
      <c r="F122" s="79"/>
      <c r="G122" s="79"/>
      <c r="H122" s="79"/>
      <c r="I122" s="79"/>
      <c r="J122" s="79"/>
      <c r="K122" s="79"/>
      <c r="L122" s="79"/>
      <c r="M122" s="79"/>
      <c r="N122" s="79"/>
      <c r="O122" s="79"/>
      <c r="P122" s="79"/>
      <c r="Q122" s="79"/>
      <c r="R122" s="59"/>
      <c r="S122" s="59"/>
      <c r="T122" s="59"/>
    </row>
    <row r="123" spans="1:21" ht="31.5" x14ac:dyDescent="0.25">
      <c r="A123" s="39">
        <v>39</v>
      </c>
      <c r="B123" s="19" t="s">
        <v>76</v>
      </c>
      <c r="C123" s="20" t="s">
        <v>77</v>
      </c>
      <c r="D123" s="82">
        <v>86.2</v>
      </c>
      <c r="E123" s="82">
        <v>86.478227654698244</v>
      </c>
      <c r="F123" s="77">
        <v>89.1</v>
      </c>
      <c r="G123" s="77">
        <f t="shared" ref="G123:Q123" si="28">F123*100.2%</f>
        <v>89.278199999999998</v>
      </c>
      <c r="H123" s="77">
        <f t="shared" si="28"/>
        <v>89.456756400000003</v>
      </c>
      <c r="I123" s="77">
        <f t="shared" si="28"/>
        <v>89.635669912799997</v>
      </c>
      <c r="J123" s="77">
        <f t="shared" si="28"/>
        <v>89.814941252625601</v>
      </c>
      <c r="K123" s="77">
        <f t="shared" si="28"/>
        <v>89.994571135130855</v>
      </c>
      <c r="L123" s="77">
        <f t="shared" si="28"/>
        <v>90.174560277401113</v>
      </c>
      <c r="M123" s="77">
        <f t="shared" si="28"/>
        <v>90.354909397955922</v>
      </c>
      <c r="N123" s="77">
        <f t="shared" si="28"/>
        <v>90.53561921675184</v>
      </c>
      <c r="O123" s="77">
        <f t="shared" si="28"/>
        <v>90.716690455185343</v>
      </c>
      <c r="P123" s="77">
        <f t="shared" si="28"/>
        <v>90.898123836095721</v>
      </c>
      <c r="Q123" s="77">
        <f t="shared" si="28"/>
        <v>91.079920083767917</v>
      </c>
      <c r="R123" s="59"/>
      <c r="S123" s="59"/>
      <c r="T123" s="59"/>
    </row>
    <row r="124" spans="1:21" ht="47.25" x14ac:dyDescent="0.25">
      <c r="A124" s="39">
        <v>40</v>
      </c>
      <c r="B124" s="19" t="s">
        <v>78</v>
      </c>
      <c r="C124" s="20" t="s">
        <v>100</v>
      </c>
      <c r="D124" s="82">
        <v>25.13</v>
      </c>
      <c r="E124" s="82">
        <v>25.210084033613445</v>
      </c>
      <c r="F124" s="77">
        <v>25.977067107640767</v>
      </c>
      <c r="G124" s="72">
        <f>F124*100.1%</f>
        <v>26.003044174748407</v>
      </c>
      <c r="H124" s="72">
        <f t="shared" ref="H124:Q125" si="29">G124*100.1%</f>
        <v>26.029047218923154</v>
      </c>
      <c r="I124" s="72">
        <f t="shared" si="29"/>
        <v>26.055076266142073</v>
      </c>
      <c r="J124" s="72">
        <f t="shared" si="29"/>
        <v>26.081131342408213</v>
      </c>
      <c r="K124" s="72">
        <f t="shared" si="29"/>
        <v>26.107212473750618</v>
      </c>
      <c r="L124" s="72">
        <f t="shared" si="29"/>
        <v>26.133319686224365</v>
      </c>
      <c r="M124" s="72">
        <f t="shared" si="29"/>
        <v>26.159453005910585</v>
      </c>
      <c r="N124" s="72">
        <f t="shared" si="29"/>
        <v>26.185612458916491</v>
      </c>
      <c r="O124" s="72">
        <f t="shared" si="29"/>
        <v>26.211798071375405</v>
      </c>
      <c r="P124" s="72">
        <f t="shared" si="29"/>
        <v>26.238009869446778</v>
      </c>
      <c r="Q124" s="72">
        <f t="shared" si="29"/>
        <v>26.264247879316223</v>
      </c>
      <c r="R124" s="59"/>
      <c r="S124" s="59"/>
      <c r="T124" s="59"/>
    </row>
    <row r="125" spans="1:21" ht="47.25" x14ac:dyDescent="0.25">
      <c r="A125" s="39">
        <v>41</v>
      </c>
      <c r="B125" s="19" t="s">
        <v>79</v>
      </c>
      <c r="C125" s="20" t="s">
        <v>100</v>
      </c>
      <c r="D125" s="82">
        <v>16.8</v>
      </c>
      <c r="E125" s="82">
        <v>16.806722689075627</v>
      </c>
      <c r="F125" s="80">
        <v>17.318044738427179</v>
      </c>
      <c r="G125" s="72">
        <f>F125*100.1%</f>
        <v>17.335362783165603</v>
      </c>
      <c r="H125" s="72">
        <f t="shared" si="29"/>
        <v>17.352698145948768</v>
      </c>
      <c r="I125" s="72">
        <f t="shared" si="29"/>
        <v>17.370050844094713</v>
      </c>
      <c r="J125" s="72">
        <f t="shared" si="29"/>
        <v>17.387420894938806</v>
      </c>
      <c r="K125" s="72">
        <f t="shared" si="29"/>
        <v>17.404808315833744</v>
      </c>
      <c r="L125" s="72">
        <f t="shared" si="29"/>
        <v>17.422213124149575</v>
      </c>
      <c r="M125" s="72">
        <f t="shared" si="29"/>
        <v>17.439635337273725</v>
      </c>
      <c r="N125" s="72">
        <f t="shared" si="29"/>
        <v>17.457074972610997</v>
      </c>
      <c r="O125" s="72">
        <f t="shared" si="29"/>
        <v>17.474532047583605</v>
      </c>
      <c r="P125" s="72">
        <f t="shared" si="29"/>
        <v>17.492006579631187</v>
      </c>
      <c r="Q125" s="72">
        <f t="shared" si="29"/>
        <v>17.509498586210817</v>
      </c>
    </row>
    <row r="126" spans="1:21" ht="63.75" customHeight="1" x14ac:dyDescent="0.25">
      <c r="A126" s="39">
        <v>42</v>
      </c>
      <c r="B126" s="19" t="s">
        <v>80</v>
      </c>
      <c r="C126" s="20" t="s">
        <v>81</v>
      </c>
      <c r="D126" s="75">
        <v>1049</v>
      </c>
      <c r="E126" s="78">
        <v>960</v>
      </c>
      <c r="F126" s="100">
        <v>1200</v>
      </c>
      <c r="G126" s="100">
        <v>1200</v>
      </c>
      <c r="H126" s="100">
        <v>1200</v>
      </c>
      <c r="I126" s="100">
        <v>1200</v>
      </c>
      <c r="J126" s="100">
        <v>1200</v>
      </c>
      <c r="K126" s="100">
        <v>1200</v>
      </c>
      <c r="L126" s="100">
        <v>1200</v>
      </c>
      <c r="M126" s="100">
        <v>1200</v>
      </c>
      <c r="N126" s="100">
        <v>1200</v>
      </c>
      <c r="O126" s="100">
        <v>1200</v>
      </c>
      <c r="P126" s="100">
        <v>1200</v>
      </c>
      <c r="Q126" s="100">
        <v>1200</v>
      </c>
    </row>
  </sheetData>
  <mergeCells count="21">
    <mergeCell ref="A4:A6"/>
    <mergeCell ref="F4:T4"/>
    <mergeCell ref="E69:E70"/>
    <mergeCell ref="B4:B6"/>
    <mergeCell ref="C4:C6"/>
    <mergeCell ref="O69:Q69"/>
    <mergeCell ref="R5:T5"/>
    <mergeCell ref="F69:H69"/>
    <mergeCell ref="I69:K69"/>
    <mergeCell ref="L69:N69"/>
    <mergeCell ref="A68:A70"/>
    <mergeCell ref="B68:B70"/>
    <mergeCell ref="L5:N5"/>
    <mergeCell ref="C68:C70"/>
    <mergeCell ref="D5:D6"/>
    <mergeCell ref="E5:E6"/>
    <mergeCell ref="F5:H5"/>
    <mergeCell ref="I5:K5"/>
    <mergeCell ref="D69:D70"/>
    <mergeCell ref="F68:Q68"/>
    <mergeCell ref="O5:Q5"/>
  </mergeCells>
  <pageMargins left="0.47244094488188981" right="0.23622047244094491" top="0.6692913385826772" bottom="0.23622047244094491" header="0.31496062992125984" footer="0.19685039370078741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4" sqref="A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</dc:creator>
  <cp:lastModifiedBy>Admin</cp:lastModifiedBy>
  <cp:lastPrinted>2024-12-10T07:14:41Z</cp:lastPrinted>
  <dcterms:created xsi:type="dcterms:W3CDTF">2017-01-31T14:23:29Z</dcterms:created>
  <dcterms:modified xsi:type="dcterms:W3CDTF">2024-12-10T12:08:53Z</dcterms:modified>
</cp:coreProperties>
</file>